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tabRatio="22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<sst xmlns="http://schemas.openxmlformats.org/spreadsheetml/2006/main" count="189" uniqueCount="151">
  <si>
    <t>Вес коэф</t>
  </si>
  <si>
    <t>КР</t>
  </si>
  <si>
    <t>РГР</t>
  </si>
  <si>
    <t>ЛР</t>
  </si>
  <si>
    <t>Практ</t>
  </si>
  <si>
    <t>Лаб</t>
  </si>
  <si>
    <t>Ср.успев</t>
  </si>
  <si>
    <t>Оценка</t>
  </si>
  <si>
    <t>Балл</t>
  </si>
  <si>
    <t>&gt;=85</t>
  </si>
  <si>
    <t>&gt;=70</t>
  </si>
  <si>
    <t>хорошо</t>
  </si>
  <si>
    <t>отлично</t>
  </si>
  <si>
    <t xml:space="preserve">Долги по лаб. работам ликвидировать у своих преподавателей на 17 неделе </t>
  </si>
  <si>
    <t>РГР1</t>
  </si>
  <si>
    <t>РГР2</t>
  </si>
  <si>
    <t>Приз</t>
  </si>
  <si>
    <t>Рейтинг</t>
  </si>
  <si>
    <t>Эн1-71</t>
  </si>
  <si>
    <t>Дружинин ВА</t>
  </si>
  <si>
    <t>Бочкарёв ММ</t>
  </si>
  <si>
    <t>Трофименко ЕС</t>
  </si>
  <si>
    <t>Максаковский ЕИ</t>
  </si>
  <si>
    <t>Савин АА</t>
  </si>
  <si>
    <t>Пустовских НС</t>
  </si>
  <si>
    <t>Батыль МС</t>
  </si>
  <si>
    <t>Ковган АВ</t>
  </si>
  <si>
    <t>Бородин ДН</t>
  </si>
  <si>
    <t>Никитин АВ</t>
  </si>
  <si>
    <t>Астафьев АА</t>
  </si>
  <si>
    <t>Черепанова АН</t>
  </si>
  <si>
    <t>Аристархов МЮ</t>
  </si>
  <si>
    <t>Мешков АА</t>
  </si>
  <si>
    <t>Архипова АВ</t>
  </si>
  <si>
    <t>Стрельцова ЕА</t>
  </si>
  <si>
    <t>Старков КА</t>
  </si>
  <si>
    <t>Мариночкина АА</t>
  </si>
  <si>
    <t>Налимов АВ</t>
  </si>
  <si>
    <t>Курысь АВ</t>
  </si>
  <si>
    <t>Цалин</t>
  </si>
  <si>
    <t>Эн1-72</t>
  </si>
  <si>
    <t>Власов МЮ</t>
  </si>
  <si>
    <t>Макаров КГ</t>
  </si>
  <si>
    <t>Федотов АП</t>
  </si>
  <si>
    <t>Серазетдинов РИ</t>
  </si>
  <si>
    <t>Гришина ЛС</t>
  </si>
  <si>
    <t>Казанцева ЮН</t>
  </si>
  <si>
    <t>Иванов АЮ</t>
  </si>
  <si>
    <t>Кривенко МН</t>
  </si>
  <si>
    <t>Романов АВ</t>
  </si>
  <si>
    <t>Власюк АЮ</t>
  </si>
  <si>
    <t>Титов ДВ</t>
  </si>
  <si>
    <t>Фоменко АВ</t>
  </si>
  <si>
    <t>Долгин СВ</t>
  </si>
  <si>
    <t>Борисов АВ</t>
  </si>
  <si>
    <t>Ролетр МА</t>
  </si>
  <si>
    <t>Ачулакова ЕГ</t>
  </si>
  <si>
    <t>Глумова ЮО</t>
  </si>
  <si>
    <t>Сахаров ИА</t>
  </si>
  <si>
    <t>Демьянов</t>
  </si>
  <si>
    <t>Сажин</t>
  </si>
  <si>
    <t>Евтушенко И</t>
  </si>
  <si>
    <t>Войтов КА</t>
  </si>
  <si>
    <t>Эн1-73</t>
  </si>
  <si>
    <t>Кашаева НС</t>
  </si>
  <si>
    <t>Нешумов С</t>
  </si>
  <si>
    <t>Ситкина АВ</t>
  </si>
  <si>
    <t>Цыганкова МЮ</t>
  </si>
  <si>
    <t>Оплачко АВ</t>
  </si>
  <si>
    <t>Дорогов НЕ</t>
  </si>
  <si>
    <t>Орлов СВ</t>
  </si>
  <si>
    <t>Хвощенко ДА</t>
  </si>
  <si>
    <t>Чипурин СС</t>
  </si>
  <si>
    <t>Зуб ДВ</t>
  </si>
  <si>
    <t>Волков ВА</t>
  </si>
  <si>
    <t>Лисина АА</t>
  </si>
  <si>
    <t>Перевалов ИВ</t>
  </si>
  <si>
    <t>Ушаков АВ</t>
  </si>
  <si>
    <t>Семенчук ВВ</t>
  </si>
  <si>
    <t>Бельков ИВ</t>
  </si>
  <si>
    <t>Берестов ИИ</t>
  </si>
  <si>
    <t>Петров НВ</t>
  </si>
  <si>
    <t>Корпин ММ</t>
  </si>
  <si>
    <t>Гончаренко ДА</t>
  </si>
  <si>
    <t>Эн1-74</t>
  </si>
  <si>
    <t>Куликов ЮА</t>
  </si>
  <si>
    <t>Левчук СА</t>
  </si>
  <si>
    <t>Денисов КМ</t>
  </si>
  <si>
    <t>Латыпова НР</t>
  </si>
  <si>
    <t>Татуйко АА</t>
  </si>
  <si>
    <t>Щербакова АВ</t>
  </si>
  <si>
    <t>Есаков Т</t>
  </si>
  <si>
    <t>Валиахметов ТВ</t>
  </si>
  <si>
    <t>Зверев АН</t>
  </si>
  <si>
    <t>Гузенко ПС</t>
  </si>
  <si>
    <t>Кончев НА</t>
  </si>
  <si>
    <t>Калежирина ОМ</t>
  </si>
  <si>
    <t>Зубов АП</t>
  </si>
  <si>
    <t>Пыленков ВВ</t>
  </si>
  <si>
    <t>Прудников АС</t>
  </si>
  <si>
    <t>Коробейников АВ</t>
  </si>
  <si>
    <t>Демченко К</t>
  </si>
  <si>
    <t>Кирьянова Е</t>
  </si>
  <si>
    <t>Юркевич ТЭ</t>
  </si>
  <si>
    <t>Эн1-75</t>
  </si>
  <si>
    <t>Сайко А</t>
  </si>
  <si>
    <t>Скворцов А</t>
  </si>
  <si>
    <t>Томилов М</t>
  </si>
  <si>
    <t>Сатриванов Р</t>
  </si>
  <si>
    <t>Лопатин С</t>
  </si>
  <si>
    <t>Малинин С</t>
  </si>
  <si>
    <t>Мотыко Е</t>
  </si>
  <si>
    <t>Дюсенбаев Е</t>
  </si>
  <si>
    <t>Касацкий М</t>
  </si>
  <si>
    <t>Слабоденюк М</t>
  </si>
  <si>
    <t>Лебедев А</t>
  </si>
  <si>
    <t>Зуева С</t>
  </si>
  <si>
    <t>Фомичёва К</t>
  </si>
  <si>
    <t>Назаренко П</t>
  </si>
  <si>
    <t>Конохов Д</t>
  </si>
  <si>
    <t>Телегина О</t>
  </si>
  <si>
    <t>Кухарева А</t>
  </si>
  <si>
    <t>Делёв Е</t>
  </si>
  <si>
    <t>Шаюк С</t>
  </si>
  <si>
    <t>Кузнецов А</t>
  </si>
  <si>
    <t>Попенкова А</t>
  </si>
  <si>
    <t>Михайлова Д</t>
  </si>
  <si>
    <t>Кузнецов В</t>
  </si>
  <si>
    <t>Моисеев МС</t>
  </si>
  <si>
    <t>или у дежурного преподавателя во время сессии</t>
  </si>
  <si>
    <t>КРМаг</t>
  </si>
  <si>
    <t>КР Эл</t>
  </si>
  <si>
    <t>Никаноров ВН</t>
  </si>
  <si>
    <t>Шестакова О</t>
  </si>
  <si>
    <t>Реунов И</t>
  </si>
  <si>
    <t>Бобров В</t>
  </si>
  <si>
    <t>Иевлев</t>
  </si>
  <si>
    <t>Кураков Д</t>
  </si>
  <si>
    <t>Жумашов БА</t>
  </si>
  <si>
    <t>Трубочев А</t>
  </si>
  <si>
    <t>ХОР перез.</t>
  </si>
  <si>
    <t>Астахов А</t>
  </si>
  <si>
    <t>кто это?</t>
  </si>
  <si>
    <t>доп ветеран</t>
  </si>
  <si>
    <t>7проц</t>
  </si>
  <si>
    <t>17проц</t>
  </si>
  <si>
    <t>15проц</t>
  </si>
  <si>
    <t>не доп</t>
  </si>
  <si>
    <t>0проц</t>
  </si>
  <si>
    <t>Коррекция</t>
  </si>
  <si>
    <r>
      <t xml:space="preserve">Не допущены те, у кого имеются </t>
    </r>
    <r>
      <rPr>
        <b/>
        <sz val="12"/>
        <color indexed="10"/>
        <rFont val="Arial Cyr"/>
        <family val="0"/>
      </rPr>
      <t>невыполненные</t>
    </r>
    <r>
      <rPr>
        <sz val="12"/>
        <color indexed="10"/>
        <rFont val="Arial Cyr"/>
        <family val="0"/>
      </rPr>
      <t xml:space="preserve"> </t>
    </r>
    <r>
      <rPr>
        <b/>
        <sz val="12"/>
        <color indexed="10"/>
        <rFont val="Arial Cyr"/>
        <family val="0"/>
      </rPr>
      <t>лаб. работы</t>
    </r>
    <r>
      <rPr>
        <sz val="10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</si>
</sst>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00"/>
    <numFmt numFmtId="166" formatCode="0.00000"/>
    <numFmt numFmtId="167" formatCode="0.0%"/>
    <numFmt numFmtId="168" formatCode="0.000%"/>
    <numFmt numFmtId="169" formatCode="_-* #,##0.000_р_._-;\-* #,##0.000_р_._-;_-* &quot;-&quot;??_р_._-;_-@_-"/>
  </numFmts>
  <fonts count="24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55" applyFont="1" applyAlignment="1">
      <alignment/>
    </xf>
    <xf numFmtId="9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9" fontId="0" fillId="0" borderId="0" xfId="55" applyFont="1" applyAlignment="1">
      <alignment/>
    </xf>
    <xf numFmtId="9" fontId="1" fillId="0" borderId="0" xfId="55" applyFont="1" applyAlignment="1">
      <alignment/>
    </xf>
    <xf numFmtId="166" fontId="1" fillId="0" borderId="0" xfId="0" applyNumberFormat="1" applyFont="1" applyAlignment="1">
      <alignment/>
    </xf>
    <xf numFmtId="9" fontId="0" fillId="0" borderId="0" xfId="55" applyFont="1" applyAlignment="1">
      <alignment/>
    </xf>
    <xf numFmtId="0" fontId="0" fillId="0" borderId="0" xfId="55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9" fontId="1" fillId="0" borderId="0" xfId="55" applyFont="1" applyAlignment="1">
      <alignment/>
    </xf>
    <xf numFmtId="0" fontId="0" fillId="0" borderId="0" xfId="0" applyFont="1" applyAlignment="1">
      <alignment/>
    </xf>
    <xf numFmtId="9" fontId="21" fillId="0" borderId="0" xfId="55" applyFont="1" applyAlignment="1">
      <alignment/>
    </xf>
    <xf numFmtId="9" fontId="21" fillId="0" borderId="0" xfId="55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8"/>
  <sheetViews>
    <sheetView tabSelected="1" workbookViewId="0" topLeftCell="A2">
      <pane xSplit="2130" ySplit="1020" topLeftCell="A109" activePane="bottomRight" state="split"/>
      <selection pane="topLeft" activeCell="A81" sqref="A81"/>
      <selection pane="topRight" activeCell="J3" sqref="J3"/>
      <selection pane="bottomLeft" activeCell="A56" sqref="A56"/>
      <selection pane="bottomRight" activeCell="C136" sqref="C136"/>
    </sheetView>
  </sheetViews>
  <sheetFormatPr defaultColWidth="9.00390625" defaultRowHeight="12.75"/>
  <cols>
    <col min="1" max="1" width="16.625" style="0" customWidth="1"/>
    <col min="6" max="6" width="6.00390625" style="0" customWidth="1"/>
    <col min="7" max="7" width="7.25390625" style="0" customWidth="1"/>
    <col min="8" max="8" width="6.25390625" style="0" customWidth="1"/>
    <col min="9" max="10" width="10.25390625" style="0" customWidth="1"/>
    <col min="11" max="11" width="10.875" style="0" bestFit="1" customWidth="1"/>
  </cols>
  <sheetData>
    <row r="2" spans="1:9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I2" t="s">
        <v>6</v>
      </c>
    </row>
    <row r="3" spans="2:10" ht="12.75">
      <c r="B3">
        <v>0.4</v>
      </c>
      <c r="C3">
        <v>0.3</v>
      </c>
      <c r="D3">
        <v>0.25</v>
      </c>
      <c r="E3">
        <v>0.05</v>
      </c>
      <c r="I3" s="4">
        <f>AVERAGE(I7:I28,I32:I55,I59:I81,I84:I104,I107:I130)</f>
        <v>0.4527522935779817</v>
      </c>
      <c r="J3" s="4">
        <f>AVERAGE(J7:J28,J32:J55,J59:J81,J84:J104,J107:J130)</f>
        <v>0.4999999999999999</v>
      </c>
    </row>
    <row r="5" spans="2:11" ht="12.75">
      <c r="B5" t="s">
        <v>131</v>
      </c>
      <c r="C5" t="s">
        <v>14</v>
      </c>
      <c r="D5" t="s">
        <v>130</v>
      </c>
      <c r="E5" t="s">
        <v>15</v>
      </c>
      <c r="F5" t="s">
        <v>5</v>
      </c>
      <c r="G5" t="s">
        <v>4</v>
      </c>
      <c r="H5" t="s">
        <v>16</v>
      </c>
      <c r="I5" t="s">
        <v>17</v>
      </c>
      <c r="J5" t="s">
        <v>149</v>
      </c>
      <c r="K5" s="5" t="s">
        <v>7</v>
      </c>
    </row>
    <row r="6" spans="1:11" ht="12.75">
      <c r="A6" s="1" t="s">
        <v>18</v>
      </c>
      <c r="B6">
        <v>5</v>
      </c>
      <c r="C6">
        <v>4</v>
      </c>
      <c r="D6">
        <v>5</v>
      </c>
      <c r="E6">
        <v>4</v>
      </c>
      <c r="K6" s="5"/>
    </row>
    <row r="7" spans="1:15" ht="12.75">
      <c r="A7" t="s">
        <v>31</v>
      </c>
      <c r="B7" s="3">
        <f>1.25/5</f>
        <v>0.25</v>
      </c>
      <c r="C7" s="3">
        <f>1.5/4</f>
        <v>0.375</v>
      </c>
      <c r="D7" s="3">
        <f>0.75/5</f>
        <v>0.15</v>
      </c>
      <c r="E7" s="3">
        <f>3.5/4</f>
        <v>0.875</v>
      </c>
      <c r="F7" s="3">
        <f>31.4/40</f>
        <v>0.7849999999999999</v>
      </c>
      <c r="G7" s="3">
        <v>1</v>
      </c>
      <c r="H7" s="3"/>
      <c r="I7" s="4">
        <f aca="true" t="shared" si="0" ref="I7:I28">(B7+D7)*0.5*$B$3+(C7+E7)*0.5*$C$3+F7*$D$3+G7*$E$3+H7</f>
        <v>0.51375</v>
      </c>
      <c r="J7" s="4">
        <f>I7/$I$3*0.5</f>
        <v>0.5673632218844985</v>
      </c>
      <c r="K7" s="1"/>
      <c r="L7" s="3"/>
      <c r="M7" s="3"/>
      <c r="N7" s="3"/>
      <c r="O7" s="15"/>
    </row>
    <row r="8" spans="1:15" ht="12.75">
      <c r="A8" t="s">
        <v>33</v>
      </c>
      <c r="B8" s="3">
        <f>2.5/5</f>
        <v>0.5</v>
      </c>
      <c r="C8" s="3">
        <f>4/4</f>
        <v>1</v>
      </c>
      <c r="D8" s="3">
        <f>1.75/5</f>
        <v>0.35</v>
      </c>
      <c r="E8" s="3">
        <f>3.5/4</f>
        <v>0.875</v>
      </c>
      <c r="F8" s="3">
        <f>35.1/40</f>
        <v>0.8775000000000001</v>
      </c>
      <c r="G8" s="3">
        <v>1</v>
      </c>
      <c r="H8" s="3"/>
      <c r="I8" s="4">
        <f t="shared" si="0"/>
        <v>0.7206250000000001</v>
      </c>
      <c r="J8" s="4">
        <f aca="true" t="shared" si="1" ref="J8:J71">I8/$I$3*0.5</f>
        <v>0.7958270010131713</v>
      </c>
      <c r="K8" s="1" t="s">
        <v>11</v>
      </c>
      <c r="L8" s="3"/>
      <c r="M8" s="3"/>
      <c r="N8" s="3"/>
      <c r="O8" s="15"/>
    </row>
    <row r="9" spans="1:15" ht="12.75">
      <c r="A9" t="s">
        <v>29</v>
      </c>
      <c r="B9" s="3">
        <f>3.5/5</f>
        <v>0.7</v>
      </c>
      <c r="C9" s="3">
        <f>3.25/4</f>
        <v>0.8125</v>
      </c>
      <c r="D9" s="3">
        <f>3.75/5</f>
        <v>0.75</v>
      </c>
      <c r="E9" s="3">
        <f>4/4</f>
        <v>1</v>
      </c>
      <c r="F9" s="3">
        <f>35.2/40</f>
        <v>0.8800000000000001</v>
      </c>
      <c r="G9" s="3">
        <v>1</v>
      </c>
      <c r="H9" s="3"/>
      <c r="I9" s="4">
        <f t="shared" si="0"/>
        <v>0.8318749999999999</v>
      </c>
      <c r="J9" s="4">
        <f t="shared" si="1"/>
        <v>0.9186866767983788</v>
      </c>
      <c r="K9" s="1" t="s">
        <v>12</v>
      </c>
      <c r="L9" s="3"/>
      <c r="M9" s="3"/>
      <c r="N9" s="3"/>
      <c r="O9" s="15"/>
    </row>
    <row r="10" spans="1:15" ht="12.75">
      <c r="A10" t="s">
        <v>25</v>
      </c>
      <c r="B10" s="3">
        <f>0.25/5</f>
        <v>0.05</v>
      </c>
      <c r="C10" s="3">
        <f>2/4</f>
        <v>0.5</v>
      </c>
      <c r="D10" s="3">
        <f>0/5</f>
        <v>0</v>
      </c>
      <c r="E10" s="3">
        <f>0/4</f>
        <v>0</v>
      </c>
      <c r="F10" s="3">
        <f>26.8/40</f>
        <v>0.67</v>
      </c>
      <c r="G10" s="3">
        <v>1</v>
      </c>
      <c r="H10" s="3"/>
      <c r="I10" s="4">
        <f t="shared" si="0"/>
        <v>0.3025</v>
      </c>
      <c r="J10" s="4">
        <f t="shared" si="1"/>
        <v>0.33406788247213776</v>
      </c>
      <c r="K10" s="1"/>
      <c r="L10" s="3"/>
      <c r="M10" s="3"/>
      <c r="N10" s="3"/>
      <c r="O10" s="15"/>
    </row>
    <row r="11" spans="1:15" ht="12.75">
      <c r="A11" t="s">
        <v>27</v>
      </c>
      <c r="B11" s="3">
        <f>4.5/5</f>
        <v>0.9</v>
      </c>
      <c r="C11" s="3">
        <f>4/4</f>
        <v>1</v>
      </c>
      <c r="D11" s="3">
        <f>4.5/5</f>
        <v>0.9</v>
      </c>
      <c r="E11" s="3">
        <f>4/4</f>
        <v>1</v>
      </c>
      <c r="F11" s="7">
        <f>35.9/40</f>
        <v>0.8975</v>
      </c>
      <c r="G11" s="3">
        <v>1</v>
      </c>
      <c r="H11" s="3"/>
      <c r="I11" s="4">
        <f t="shared" si="0"/>
        <v>0.9343750000000001</v>
      </c>
      <c r="J11" s="4">
        <f t="shared" si="1"/>
        <v>1.0318832320162108</v>
      </c>
      <c r="K11" s="1" t="s">
        <v>12</v>
      </c>
      <c r="L11" s="3"/>
      <c r="M11" s="3"/>
      <c r="N11" s="3"/>
      <c r="O11" s="15"/>
    </row>
    <row r="12" spans="1:15" ht="12.75">
      <c r="A12" t="s">
        <v>20</v>
      </c>
      <c r="B12" s="3">
        <f>0.25/5</f>
        <v>0.05</v>
      </c>
      <c r="C12" s="3">
        <f>3/4</f>
        <v>0.75</v>
      </c>
      <c r="D12" s="3">
        <f>0/5</f>
        <v>0</v>
      </c>
      <c r="E12" s="3">
        <f>2.5/4</f>
        <v>0.625</v>
      </c>
      <c r="F12" s="3">
        <f>27.2/40</f>
        <v>0.6799999999999999</v>
      </c>
      <c r="G12" s="3">
        <v>1</v>
      </c>
      <c r="H12" s="3"/>
      <c r="I12" s="4">
        <f t="shared" si="0"/>
        <v>0.43624999999999997</v>
      </c>
      <c r="J12" s="4">
        <f t="shared" si="1"/>
        <v>0.4817755825734548</v>
      </c>
      <c r="K12" s="1"/>
      <c r="L12" s="3"/>
      <c r="M12" s="3"/>
      <c r="N12" s="3"/>
      <c r="O12" s="15"/>
    </row>
    <row r="13" spans="1:15" ht="12.75">
      <c r="A13" t="s">
        <v>19</v>
      </c>
      <c r="B13" s="3">
        <f>0.25/5</f>
        <v>0.05</v>
      </c>
      <c r="C13" s="3">
        <f>0.5/4</f>
        <v>0.125</v>
      </c>
      <c r="D13" s="3">
        <f>0.5/5</f>
        <v>0.1</v>
      </c>
      <c r="E13" s="3">
        <f>0/4</f>
        <v>0</v>
      </c>
      <c r="F13" s="3">
        <f>28.1/40</f>
        <v>0.7025</v>
      </c>
      <c r="G13" s="3">
        <v>1</v>
      </c>
      <c r="H13" s="3"/>
      <c r="I13" s="4">
        <f t="shared" si="0"/>
        <v>0.274375</v>
      </c>
      <c r="J13" s="4">
        <f t="shared" si="1"/>
        <v>0.303007852077001</v>
      </c>
      <c r="K13" s="9"/>
      <c r="L13" s="3"/>
      <c r="M13" s="3"/>
      <c r="N13" s="3"/>
      <c r="O13" s="15"/>
    </row>
    <row r="14" spans="1:15" ht="12.75">
      <c r="A14" t="s">
        <v>26</v>
      </c>
      <c r="B14" s="3">
        <f>0.5/5</f>
        <v>0.1</v>
      </c>
      <c r="C14" s="3">
        <f>1/4</f>
        <v>0.25</v>
      </c>
      <c r="D14" s="3">
        <f>1/5</f>
        <v>0.2</v>
      </c>
      <c r="E14" s="3">
        <f>1.5/4</f>
        <v>0.375</v>
      </c>
      <c r="F14" s="7">
        <f>29.6/40</f>
        <v>0.74</v>
      </c>
      <c r="G14" s="3">
        <v>1</v>
      </c>
      <c r="H14" s="3"/>
      <c r="I14" s="4">
        <f t="shared" si="0"/>
        <v>0.38875</v>
      </c>
      <c r="J14" s="4">
        <f t="shared" si="1"/>
        <v>0.42931864235055717</v>
      </c>
      <c r="K14" s="1"/>
      <c r="L14" s="3"/>
      <c r="M14" s="3"/>
      <c r="N14" s="3"/>
      <c r="O14" s="15"/>
    </row>
    <row r="15" spans="1:15" ht="12.75">
      <c r="A15" t="s">
        <v>38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3">
        <v>0</v>
      </c>
      <c r="I15" s="4">
        <f t="shared" si="0"/>
        <v>0</v>
      </c>
      <c r="J15" s="4">
        <f t="shared" si="1"/>
        <v>0</v>
      </c>
      <c r="K15" s="13" t="s">
        <v>147</v>
      </c>
      <c r="L15" s="3"/>
      <c r="M15" s="3"/>
      <c r="N15" s="3"/>
      <c r="O15" s="15"/>
    </row>
    <row r="16" spans="1:15" ht="12.75">
      <c r="A16" t="s">
        <v>22</v>
      </c>
      <c r="B16" s="3">
        <f>0/5</f>
        <v>0</v>
      </c>
      <c r="C16" s="3">
        <f>0.75/4</f>
        <v>0.1875</v>
      </c>
      <c r="D16" s="17">
        <v>0</v>
      </c>
      <c r="E16" s="3">
        <f>0.25/4</f>
        <v>0.0625</v>
      </c>
      <c r="F16" s="3">
        <f>24.4/40</f>
        <v>0.61</v>
      </c>
      <c r="G16" s="3">
        <v>1</v>
      </c>
      <c r="H16" s="3"/>
      <c r="I16" s="4">
        <f t="shared" si="0"/>
        <v>0.24</v>
      </c>
      <c r="J16" s="4">
        <f t="shared" si="1"/>
        <v>0.26504559270516714</v>
      </c>
      <c r="K16" s="1"/>
      <c r="L16" s="3"/>
      <c r="M16" s="3"/>
      <c r="N16" s="3"/>
      <c r="O16" s="15"/>
    </row>
    <row r="17" spans="1:15" ht="12.75">
      <c r="A17" t="s">
        <v>36</v>
      </c>
      <c r="B17" s="3">
        <f>0.25/5</f>
        <v>0.05</v>
      </c>
      <c r="C17" s="3">
        <f>0.25/4</f>
        <v>0.0625</v>
      </c>
      <c r="D17" s="3">
        <f>0.25/5</f>
        <v>0.05</v>
      </c>
      <c r="E17" s="17">
        <v>0</v>
      </c>
      <c r="F17" s="3">
        <f>25.7/40</f>
        <v>0.6425</v>
      </c>
      <c r="G17" s="3">
        <v>1</v>
      </c>
      <c r="H17" s="3"/>
      <c r="I17" s="4">
        <f t="shared" si="0"/>
        <v>0.24</v>
      </c>
      <c r="J17" s="4">
        <f t="shared" si="1"/>
        <v>0.26504559270516714</v>
      </c>
      <c r="K17" s="1"/>
      <c r="L17" s="3"/>
      <c r="M17" s="3"/>
      <c r="N17" s="3"/>
      <c r="O17" s="15"/>
    </row>
    <row r="18" spans="1:15" ht="12.75">
      <c r="A18" t="s">
        <v>32</v>
      </c>
      <c r="B18" s="3">
        <f>0/5</f>
        <v>0</v>
      </c>
      <c r="C18" s="3">
        <f>0.5/4</f>
        <v>0.125</v>
      </c>
      <c r="D18" s="3">
        <f>0/5</f>
        <v>0</v>
      </c>
      <c r="E18" s="3">
        <f>0.25/4</f>
        <v>0.0625</v>
      </c>
      <c r="F18" s="3">
        <f>25.9/40</f>
        <v>0.6475</v>
      </c>
      <c r="G18" s="3">
        <v>1</v>
      </c>
      <c r="H18" s="3"/>
      <c r="I18" s="4">
        <f t="shared" si="0"/>
        <v>0.24</v>
      </c>
      <c r="J18" s="4">
        <f t="shared" si="1"/>
        <v>0.26504559270516714</v>
      </c>
      <c r="K18" s="1"/>
      <c r="L18" s="3"/>
      <c r="M18" s="3"/>
      <c r="N18" s="3"/>
      <c r="O18" s="15"/>
    </row>
    <row r="19" spans="1:15" ht="12.75">
      <c r="A19" t="s">
        <v>128</v>
      </c>
      <c r="B19" s="3">
        <f>0.5/5</f>
        <v>0.1</v>
      </c>
      <c r="C19" s="3">
        <f>0/4</f>
        <v>0</v>
      </c>
      <c r="D19" s="3">
        <f>0/5</f>
        <v>0</v>
      </c>
      <c r="E19" s="3">
        <f>0.5/4</f>
        <v>0.125</v>
      </c>
      <c r="F19" s="3">
        <f>25.8/40</f>
        <v>0.645</v>
      </c>
      <c r="G19" s="3">
        <v>1</v>
      </c>
      <c r="H19" s="3"/>
      <c r="I19" s="4">
        <f t="shared" si="0"/>
        <v>0.25</v>
      </c>
      <c r="J19" s="4">
        <f t="shared" si="1"/>
        <v>0.27608915906788245</v>
      </c>
      <c r="K19" s="1"/>
      <c r="L19" s="3"/>
      <c r="M19" s="3"/>
      <c r="N19" s="3"/>
      <c r="O19" s="15"/>
    </row>
    <row r="20" spans="1:15" ht="12.75">
      <c r="A20" t="s">
        <v>37</v>
      </c>
      <c r="B20" s="3">
        <f>0.25/5</f>
        <v>0.05</v>
      </c>
      <c r="C20" s="3">
        <f>0.75/4</f>
        <v>0.1875</v>
      </c>
      <c r="D20" s="3">
        <f>0/5</f>
        <v>0</v>
      </c>
      <c r="E20" s="3">
        <f>0/4</f>
        <v>0</v>
      </c>
      <c r="F20" s="17">
        <f>26/40</f>
        <v>0.65</v>
      </c>
      <c r="G20" s="3">
        <v>1</v>
      </c>
      <c r="H20" s="3"/>
      <c r="I20" s="4">
        <f t="shared" si="0"/>
        <v>0.250625</v>
      </c>
      <c r="J20" s="4">
        <f t="shared" si="1"/>
        <v>0.27677938196555213</v>
      </c>
      <c r="K20" s="1" t="s">
        <v>147</v>
      </c>
      <c r="L20" s="3"/>
      <c r="M20" s="3"/>
      <c r="N20" s="3"/>
      <c r="O20" s="15"/>
    </row>
    <row r="21" spans="1:15" ht="12.75">
      <c r="A21" t="s">
        <v>28</v>
      </c>
      <c r="B21" s="3">
        <f>1/5</f>
        <v>0.2</v>
      </c>
      <c r="C21" s="3">
        <f>4/4</f>
        <v>1</v>
      </c>
      <c r="D21" s="3">
        <f>4/5</f>
        <v>0.8</v>
      </c>
      <c r="E21" s="3">
        <f>4/4</f>
        <v>1</v>
      </c>
      <c r="F21" s="3">
        <f>35.4/40</f>
        <v>0.885</v>
      </c>
      <c r="G21" s="3">
        <v>1</v>
      </c>
      <c r="H21" s="3"/>
      <c r="I21" s="4">
        <f t="shared" si="0"/>
        <v>0.77125</v>
      </c>
      <c r="J21" s="4">
        <f t="shared" si="1"/>
        <v>0.8517350557244173</v>
      </c>
      <c r="K21" s="1" t="s">
        <v>12</v>
      </c>
      <c r="L21" s="3"/>
      <c r="M21" s="3"/>
      <c r="N21" s="3"/>
      <c r="O21" s="15"/>
    </row>
    <row r="22" spans="1:15" ht="12.75">
      <c r="A22" t="s">
        <v>24</v>
      </c>
      <c r="B22" s="3">
        <f>0/5</f>
        <v>0</v>
      </c>
      <c r="C22" s="3">
        <f>1.75/4</f>
        <v>0.4375</v>
      </c>
      <c r="D22" s="3">
        <f>0/5</f>
        <v>0</v>
      </c>
      <c r="E22" s="3">
        <f>3/4</f>
        <v>0.75</v>
      </c>
      <c r="F22" s="3">
        <f>28.8/40</f>
        <v>0.72</v>
      </c>
      <c r="G22" s="3">
        <v>1</v>
      </c>
      <c r="H22" s="3"/>
      <c r="I22" s="4">
        <f t="shared" si="0"/>
        <v>0.408125</v>
      </c>
      <c r="J22" s="4">
        <f t="shared" si="1"/>
        <v>0.4507155521783181</v>
      </c>
      <c r="K22" s="1"/>
      <c r="L22" s="3"/>
      <c r="M22" s="3"/>
      <c r="N22" s="3"/>
      <c r="O22" s="15"/>
    </row>
    <row r="23" spans="1:15" ht="12.75">
      <c r="A23" t="s">
        <v>23</v>
      </c>
      <c r="B23" s="3">
        <f>0.25/5</f>
        <v>0.05</v>
      </c>
      <c r="C23" s="3">
        <f>0.75/4</f>
        <v>0.1875</v>
      </c>
      <c r="D23" s="3">
        <f>0/5</f>
        <v>0</v>
      </c>
      <c r="E23" s="3">
        <f>0/4</f>
        <v>0</v>
      </c>
      <c r="F23" s="3">
        <f>26.3/40</f>
        <v>0.6575</v>
      </c>
      <c r="G23" s="3">
        <v>1</v>
      </c>
      <c r="H23" s="3"/>
      <c r="I23" s="4">
        <f t="shared" si="0"/>
        <v>0.2525</v>
      </c>
      <c r="J23" s="4">
        <f t="shared" si="1"/>
        <v>0.2788500506585613</v>
      </c>
      <c r="K23" s="1"/>
      <c r="L23" s="3"/>
      <c r="M23" s="3"/>
      <c r="N23" s="3"/>
      <c r="O23" s="15"/>
    </row>
    <row r="24" spans="1:15" ht="12.75">
      <c r="A24" t="s">
        <v>35</v>
      </c>
      <c r="B24" s="3">
        <f>0.75/5</f>
        <v>0.15</v>
      </c>
      <c r="C24" s="3">
        <f>1.5/4</f>
        <v>0.375</v>
      </c>
      <c r="D24" s="17">
        <v>0</v>
      </c>
      <c r="E24" s="17">
        <v>0</v>
      </c>
      <c r="F24" s="3">
        <f>28.5/40</f>
        <v>0.7125</v>
      </c>
      <c r="G24" s="3">
        <v>1</v>
      </c>
      <c r="H24" s="3"/>
      <c r="I24" s="4">
        <f t="shared" si="0"/>
        <v>0.314375</v>
      </c>
      <c r="J24" s="4">
        <f t="shared" si="1"/>
        <v>0.3471821175278622</v>
      </c>
      <c r="K24" s="1"/>
      <c r="L24" s="3"/>
      <c r="M24" s="3"/>
      <c r="N24" s="3"/>
      <c r="O24" s="15"/>
    </row>
    <row r="25" spans="1:15" ht="12.75">
      <c r="A25" t="s">
        <v>34</v>
      </c>
      <c r="B25" s="3">
        <f>3.25/5</f>
        <v>0.65</v>
      </c>
      <c r="C25" s="3">
        <f>3/4</f>
        <v>0.75</v>
      </c>
      <c r="D25" s="3">
        <f>2.5/5</f>
        <v>0.5</v>
      </c>
      <c r="E25" s="3">
        <f>2/4</f>
        <v>0.5</v>
      </c>
      <c r="F25" s="3">
        <f>34.8/40</f>
        <v>0.8699999999999999</v>
      </c>
      <c r="G25" s="3">
        <v>1</v>
      </c>
      <c r="H25" s="3"/>
      <c r="I25" s="4">
        <f t="shared" si="0"/>
        <v>0.685</v>
      </c>
      <c r="J25" s="4">
        <f t="shared" si="1"/>
        <v>0.756484295845998</v>
      </c>
      <c r="K25" s="1" t="s">
        <v>11</v>
      </c>
      <c r="L25" s="3"/>
      <c r="M25" s="3"/>
      <c r="N25" s="3"/>
      <c r="O25" s="15"/>
    </row>
    <row r="26" spans="1:15" ht="12.75">
      <c r="A26" t="s">
        <v>21</v>
      </c>
      <c r="B26" s="3">
        <f>1.25/5</f>
        <v>0.25</v>
      </c>
      <c r="C26" s="3">
        <f>0.75/4</f>
        <v>0.1875</v>
      </c>
      <c r="D26" s="3">
        <f>0/5</f>
        <v>0</v>
      </c>
      <c r="E26" s="3">
        <f>2.5/4</f>
        <v>0.625</v>
      </c>
      <c r="F26" s="3">
        <f>31.9/40</f>
        <v>0.7975</v>
      </c>
      <c r="G26" s="3">
        <v>1</v>
      </c>
      <c r="H26" s="3"/>
      <c r="I26" s="4">
        <f t="shared" si="0"/>
        <v>0.42124999999999996</v>
      </c>
      <c r="J26" s="4">
        <f t="shared" si="1"/>
        <v>0.46521023302938186</v>
      </c>
      <c r="K26" s="1"/>
      <c r="L26" s="3"/>
      <c r="M26" s="3"/>
      <c r="N26" s="3"/>
      <c r="O26" s="15"/>
    </row>
    <row r="27" spans="1:15" ht="12.75">
      <c r="A27" t="s">
        <v>39</v>
      </c>
      <c r="B27" s="17">
        <v>0</v>
      </c>
      <c r="C27" s="17">
        <v>0</v>
      </c>
      <c r="D27" s="17">
        <v>0</v>
      </c>
      <c r="E27" s="17">
        <v>0</v>
      </c>
      <c r="F27" s="17">
        <f>28/40</f>
        <v>0.7</v>
      </c>
      <c r="G27" s="3">
        <v>1</v>
      </c>
      <c r="I27" s="4">
        <f t="shared" si="0"/>
        <v>0.22499999999999998</v>
      </c>
      <c r="J27" s="4">
        <f t="shared" si="1"/>
        <v>0.24848024316109418</v>
      </c>
      <c r="K27" s="13" t="s">
        <v>147</v>
      </c>
      <c r="L27" s="3"/>
      <c r="M27" s="3"/>
      <c r="N27" s="3"/>
      <c r="O27" s="15"/>
    </row>
    <row r="28" spans="1:15" ht="12.75">
      <c r="A28" t="s">
        <v>30</v>
      </c>
      <c r="B28" s="3">
        <f>2/5</f>
        <v>0.4</v>
      </c>
      <c r="C28" s="3">
        <f>2.25/4</f>
        <v>0.5625</v>
      </c>
      <c r="D28" s="3">
        <f>2/5</f>
        <v>0.4</v>
      </c>
      <c r="E28" s="3">
        <f>3.25/4</f>
        <v>0.8125</v>
      </c>
      <c r="F28" s="3">
        <f>32.6/40</f>
        <v>0.8150000000000001</v>
      </c>
      <c r="G28" s="3">
        <v>1</v>
      </c>
      <c r="H28" s="3"/>
      <c r="I28" s="4">
        <f t="shared" si="0"/>
        <v>0.6200000000000001</v>
      </c>
      <c r="J28" s="4">
        <f t="shared" si="1"/>
        <v>0.6847011144883486</v>
      </c>
      <c r="K28" s="1"/>
      <c r="L28" s="3"/>
      <c r="M28" s="3"/>
      <c r="N28" s="3"/>
      <c r="O28" s="15"/>
    </row>
    <row r="29" spans="2:15" ht="12.75">
      <c r="B29" s="3"/>
      <c r="C29" s="3"/>
      <c r="D29" s="3"/>
      <c r="E29" s="3"/>
      <c r="G29" s="3"/>
      <c r="I29" s="4"/>
      <c r="J29" s="4"/>
      <c r="L29" s="3"/>
      <c r="M29" s="3"/>
      <c r="N29" s="3"/>
      <c r="O29" s="15"/>
    </row>
    <row r="30" spans="9:15" ht="12.75">
      <c r="I30" s="4"/>
      <c r="J30" s="4"/>
      <c r="L30" s="3"/>
      <c r="M30" s="3"/>
      <c r="N30" s="3"/>
      <c r="O30" s="15"/>
    </row>
    <row r="31" spans="1:15" ht="12.75">
      <c r="A31" s="1" t="s">
        <v>40</v>
      </c>
      <c r="B31">
        <v>5</v>
      </c>
      <c r="C31">
        <v>4</v>
      </c>
      <c r="D31">
        <v>4</v>
      </c>
      <c r="E31">
        <v>4</v>
      </c>
      <c r="I31" s="4"/>
      <c r="J31" s="4"/>
      <c r="K31" s="5"/>
      <c r="L31" s="3"/>
      <c r="M31" s="3"/>
      <c r="N31" s="3"/>
      <c r="O31" s="15"/>
    </row>
    <row r="32" spans="1:15" ht="12.75">
      <c r="A32" t="s">
        <v>56</v>
      </c>
      <c r="B32" s="3">
        <f>3/5</f>
        <v>0.6</v>
      </c>
      <c r="C32" s="3">
        <f>3.75/4</f>
        <v>0.9375</v>
      </c>
      <c r="D32" s="3">
        <f>3.75/5</f>
        <v>0.75</v>
      </c>
      <c r="E32" s="3">
        <f>4/4</f>
        <v>1</v>
      </c>
      <c r="F32" s="3">
        <f>32.5/40</f>
        <v>0.8125</v>
      </c>
      <c r="G32" s="3">
        <v>1</v>
      </c>
      <c r="H32" s="3"/>
      <c r="I32" s="4">
        <f aca="true" t="shared" si="2" ref="I32:I55">(B32+D32)*0.5*$B$3+(C32+E32)*0.5*$C$3+F32*$D$3+G32*$E$3+H32</f>
        <v>0.81375</v>
      </c>
      <c r="J32" s="4">
        <f t="shared" si="1"/>
        <v>0.8986702127659574</v>
      </c>
      <c r="K32" s="1" t="s">
        <v>12</v>
      </c>
      <c r="L32" s="3"/>
      <c r="M32" s="3"/>
      <c r="N32" s="3"/>
      <c r="O32" s="15"/>
    </row>
    <row r="33" spans="1:15" ht="12.75">
      <c r="A33" t="s">
        <v>54</v>
      </c>
      <c r="B33" s="3">
        <f>0.75/5</f>
        <v>0.15</v>
      </c>
      <c r="C33" s="3">
        <f>1/4</f>
        <v>0.25</v>
      </c>
      <c r="D33" s="3">
        <f>0.5/5</f>
        <v>0.1</v>
      </c>
      <c r="E33" s="3">
        <f>2.5/4</f>
        <v>0.625</v>
      </c>
      <c r="F33" s="3">
        <f>26.5/40</f>
        <v>0.6625</v>
      </c>
      <c r="G33" s="3">
        <v>1</v>
      </c>
      <c r="H33" s="3"/>
      <c r="I33" s="4">
        <f t="shared" si="2"/>
        <v>0.39687500000000003</v>
      </c>
      <c r="J33" s="4">
        <f t="shared" si="1"/>
        <v>0.43829154002026344</v>
      </c>
      <c r="K33" s="1"/>
      <c r="L33" s="3"/>
      <c r="M33" s="3"/>
      <c r="N33" s="3"/>
      <c r="O33" s="15"/>
    </row>
    <row r="34" spans="1:15" ht="12.75">
      <c r="A34" t="s">
        <v>41</v>
      </c>
      <c r="B34" s="3">
        <f>0.5/5</f>
        <v>0.1</v>
      </c>
      <c r="C34" s="3">
        <f>0.25/4</f>
        <v>0.0625</v>
      </c>
      <c r="D34" s="3">
        <f>0/5</f>
        <v>0</v>
      </c>
      <c r="E34" s="3">
        <f>0.25/4</f>
        <v>0.0625</v>
      </c>
      <c r="F34" s="3">
        <f>24.3/40</f>
        <v>0.6075</v>
      </c>
      <c r="G34" s="3">
        <v>1</v>
      </c>
      <c r="H34" s="3"/>
      <c r="I34" s="4">
        <f t="shared" si="2"/>
        <v>0.24062500000000003</v>
      </c>
      <c r="J34" s="4">
        <f t="shared" si="1"/>
        <v>0.2657358156028369</v>
      </c>
      <c r="L34" s="3"/>
      <c r="M34" s="3"/>
      <c r="N34" s="3"/>
      <c r="O34" s="15"/>
    </row>
    <row r="35" spans="1:15" ht="12.75">
      <c r="A35" t="s">
        <v>50</v>
      </c>
      <c r="B35" s="3">
        <f>4.25/5</f>
        <v>0.85</v>
      </c>
      <c r="C35" s="3">
        <f>3.5/4</f>
        <v>0.875</v>
      </c>
      <c r="D35" s="3">
        <f>4.25/5</f>
        <v>0.85</v>
      </c>
      <c r="E35" s="3">
        <f>4/4</f>
        <v>1</v>
      </c>
      <c r="F35" s="3">
        <f>31.6/40</f>
        <v>0.79</v>
      </c>
      <c r="G35" s="3">
        <v>1</v>
      </c>
      <c r="H35" s="3"/>
      <c r="I35" s="4">
        <f t="shared" si="2"/>
        <v>0.8687500000000001</v>
      </c>
      <c r="J35" s="4">
        <f t="shared" si="1"/>
        <v>0.9594098277608917</v>
      </c>
      <c r="K35" s="1" t="s">
        <v>12</v>
      </c>
      <c r="L35" s="3"/>
      <c r="M35" s="3"/>
      <c r="N35" s="3"/>
      <c r="O35" s="15"/>
    </row>
    <row r="36" spans="1:15" ht="12.75">
      <c r="A36" t="s">
        <v>62</v>
      </c>
      <c r="B36" s="3">
        <f>0/5</f>
        <v>0</v>
      </c>
      <c r="C36" s="3">
        <f>0.25/4</f>
        <v>0.0625</v>
      </c>
      <c r="D36" s="3">
        <f>0/5</f>
        <v>0</v>
      </c>
      <c r="E36" s="3">
        <f>1/4</f>
        <v>0.25</v>
      </c>
      <c r="F36" s="3">
        <f>28.5/40</f>
        <v>0.7125</v>
      </c>
      <c r="G36" s="3">
        <v>1</v>
      </c>
      <c r="H36" s="3"/>
      <c r="I36" s="4">
        <f t="shared" si="2"/>
        <v>0.275</v>
      </c>
      <c r="J36" s="4">
        <f t="shared" si="1"/>
        <v>0.3036980749746707</v>
      </c>
      <c r="L36" s="3"/>
      <c r="M36" s="3"/>
      <c r="N36" s="3"/>
      <c r="O36" s="15"/>
    </row>
    <row r="37" spans="1:15" ht="12.75">
      <c r="A37" t="s">
        <v>57</v>
      </c>
      <c r="B37" s="3">
        <f>0.75/5</f>
        <v>0.15</v>
      </c>
      <c r="C37" s="3">
        <f>2.5/4</f>
        <v>0.625</v>
      </c>
      <c r="D37" s="3">
        <f>1.25/5</f>
        <v>0.25</v>
      </c>
      <c r="E37" s="3">
        <f>1.25/4</f>
        <v>0.3125</v>
      </c>
      <c r="F37" s="3">
        <f>25.5/40</f>
        <v>0.6375</v>
      </c>
      <c r="G37" s="3">
        <v>1</v>
      </c>
      <c r="H37" s="3"/>
      <c r="I37" s="4">
        <f t="shared" si="2"/>
        <v>0.43</v>
      </c>
      <c r="J37" s="4">
        <f t="shared" si="1"/>
        <v>0.4748733535967578</v>
      </c>
      <c r="K37" s="1"/>
      <c r="L37" s="3"/>
      <c r="M37" s="3"/>
      <c r="N37" s="3"/>
      <c r="O37" s="15"/>
    </row>
    <row r="38" spans="1:15" ht="12.75">
      <c r="A38" t="s">
        <v>45</v>
      </c>
      <c r="B38" s="3">
        <f>0.25/5</f>
        <v>0.05</v>
      </c>
      <c r="C38" s="3">
        <f>3/4</f>
        <v>0.75</v>
      </c>
      <c r="D38" s="10">
        <f>0.25/5</f>
        <v>0.05</v>
      </c>
      <c r="E38" s="3">
        <f>0/4</f>
        <v>0</v>
      </c>
      <c r="F38" s="3">
        <f>26.2/40</f>
        <v>0.655</v>
      </c>
      <c r="G38" s="3">
        <v>1</v>
      </c>
      <c r="H38" s="3"/>
      <c r="I38" s="4">
        <f t="shared" si="2"/>
        <v>0.34625</v>
      </c>
      <c r="J38" s="4">
        <f t="shared" si="1"/>
        <v>0.38238348530901717</v>
      </c>
      <c r="K38" s="1"/>
      <c r="L38" s="3"/>
      <c r="M38" s="3"/>
      <c r="N38" s="3"/>
      <c r="O38" s="15"/>
    </row>
    <row r="39" spans="1:15" ht="12.75">
      <c r="A39" t="s">
        <v>59</v>
      </c>
      <c r="B39" s="3">
        <f>0.5/5</f>
        <v>0.1</v>
      </c>
      <c r="C39" s="17">
        <v>0</v>
      </c>
      <c r="D39" s="3">
        <f>0.25/5</f>
        <v>0.05</v>
      </c>
      <c r="E39" s="3">
        <f>0/4</f>
        <v>0</v>
      </c>
      <c r="F39" s="3">
        <f>26.7/40</f>
        <v>0.6675</v>
      </c>
      <c r="G39" s="3">
        <v>1</v>
      </c>
      <c r="H39" s="3"/>
      <c r="I39" s="4">
        <f t="shared" si="2"/>
        <v>0.246875</v>
      </c>
      <c r="J39" s="4">
        <f t="shared" si="1"/>
        <v>0.27263804457953394</v>
      </c>
      <c r="K39" s="1"/>
      <c r="L39" s="3"/>
      <c r="M39" s="3"/>
      <c r="N39" s="3"/>
      <c r="O39" s="15"/>
    </row>
    <row r="40" spans="1:15" ht="12.75">
      <c r="A40" t="s">
        <v>53</v>
      </c>
      <c r="B40" s="3">
        <f>4/5</f>
        <v>0.8</v>
      </c>
      <c r="C40" s="3">
        <f>3.5/4</f>
        <v>0.875</v>
      </c>
      <c r="D40" s="3">
        <f>3/5</f>
        <v>0.6</v>
      </c>
      <c r="E40" s="3">
        <f>3/4</f>
        <v>0.75</v>
      </c>
      <c r="F40" s="7">
        <f>32.4/40</f>
        <v>0.8099999999999999</v>
      </c>
      <c r="G40" s="3">
        <v>1</v>
      </c>
      <c r="H40" s="3"/>
      <c r="I40" s="4">
        <f t="shared" si="2"/>
        <v>0.77625</v>
      </c>
      <c r="J40" s="4">
        <f t="shared" si="1"/>
        <v>0.857256838905775</v>
      </c>
      <c r="K40" s="1" t="s">
        <v>12</v>
      </c>
      <c r="L40" s="3"/>
      <c r="M40" s="3"/>
      <c r="N40" s="3"/>
      <c r="O40" s="15"/>
    </row>
    <row r="41" spans="1:15" ht="12.75">
      <c r="A41" t="s">
        <v>61</v>
      </c>
      <c r="B41" s="3">
        <f>0.25/5</f>
        <v>0.05</v>
      </c>
      <c r="C41" s="3">
        <f>0/4</f>
        <v>0</v>
      </c>
      <c r="D41" s="3">
        <f>0/5</f>
        <v>0</v>
      </c>
      <c r="E41" s="3">
        <f>0/4</f>
        <v>0</v>
      </c>
      <c r="F41" s="3">
        <f>27.6/40</f>
        <v>0.6900000000000001</v>
      </c>
      <c r="G41" s="3">
        <v>1</v>
      </c>
      <c r="H41" s="3"/>
      <c r="I41" s="4">
        <f t="shared" si="2"/>
        <v>0.23250000000000004</v>
      </c>
      <c r="J41" s="4">
        <f t="shared" si="1"/>
        <v>0.2567629179331307</v>
      </c>
      <c r="K41" s="1"/>
      <c r="L41" s="3"/>
      <c r="M41" s="3"/>
      <c r="N41" s="3"/>
      <c r="O41" s="15"/>
    </row>
    <row r="42" spans="1:15" ht="12.75">
      <c r="A42" t="s">
        <v>47</v>
      </c>
      <c r="B42" s="3">
        <f>0.25/5</f>
        <v>0.05</v>
      </c>
      <c r="C42" s="3">
        <f>1.5/4</f>
        <v>0.375</v>
      </c>
      <c r="D42" s="3">
        <f>0/5</f>
        <v>0</v>
      </c>
      <c r="E42" s="3">
        <f>1.5/4</f>
        <v>0.375</v>
      </c>
      <c r="F42" s="3">
        <f>22/40</f>
        <v>0.55</v>
      </c>
      <c r="G42" s="3">
        <v>1</v>
      </c>
      <c r="H42" s="3"/>
      <c r="I42" s="4">
        <f t="shared" si="2"/>
        <v>0.31</v>
      </c>
      <c r="J42" s="4">
        <f t="shared" si="1"/>
        <v>0.34235055724417424</v>
      </c>
      <c r="K42" s="1"/>
      <c r="L42" s="3"/>
      <c r="M42" s="3"/>
      <c r="N42" s="3"/>
      <c r="O42" s="15"/>
    </row>
    <row r="43" spans="1:15" ht="12.75">
      <c r="A43" t="s">
        <v>46</v>
      </c>
      <c r="B43" s="3">
        <f>0.75/5</f>
        <v>0.15</v>
      </c>
      <c r="C43" s="3">
        <f>2/4</f>
        <v>0.5</v>
      </c>
      <c r="D43" s="3">
        <f>0.25/5</f>
        <v>0.05</v>
      </c>
      <c r="E43" s="3">
        <f>1/4</f>
        <v>0.25</v>
      </c>
      <c r="F43" s="3">
        <f>24.6/40</f>
        <v>0.615</v>
      </c>
      <c r="G43" s="3">
        <v>1</v>
      </c>
      <c r="H43" s="3"/>
      <c r="I43" s="4">
        <f t="shared" si="2"/>
        <v>0.35625</v>
      </c>
      <c r="J43" s="4">
        <f t="shared" si="1"/>
        <v>0.3934270516717325</v>
      </c>
      <c r="K43" s="1"/>
      <c r="L43" s="3"/>
      <c r="M43" s="3"/>
      <c r="N43" s="3"/>
      <c r="O43" s="15"/>
    </row>
    <row r="44" spans="1:15" ht="12.75">
      <c r="A44" t="s">
        <v>48</v>
      </c>
      <c r="B44" s="3">
        <f>0/5</f>
        <v>0</v>
      </c>
      <c r="C44" s="17">
        <v>0</v>
      </c>
      <c r="D44" s="3">
        <f>0/5</f>
        <v>0</v>
      </c>
      <c r="E44" s="3">
        <f>0.25/4</f>
        <v>0.0625</v>
      </c>
      <c r="F44" s="17">
        <f>22/40</f>
        <v>0.55</v>
      </c>
      <c r="G44" s="3">
        <v>1</v>
      </c>
      <c r="H44" s="3"/>
      <c r="I44" s="4">
        <f t="shared" si="2"/>
        <v>0.19687500000000002</v>
      </c>
      <c r="J44" s="4">
        <f t="shared" si="1"/>
        <v>0.21742021276595747</v>
      </c>
      <c r="K44" s="1" t="s">
        <v>147</v>
      </c>
      <c r="L44" s="3"/>
      <c r="M44" s="3"/>
      <c r="N44" s="3"/>
      <c r="O44" s="15"/>
    </row>
    <row r="45" spans="1:15" ht="12.75">
      <c r="A45" t="s">
        <v>127</v>
      </c>
      <c r="B45" s="17">
        <v>0</v>
      </c>
      <c r="C45" s="3">
        <f>0/4</f>
        <v>0</v>
      </c>
      <c r="D45" s="17">
        <v>0</v>
      </c>
      <c r="E45" s="3">
        <f>0/4</f>
        <v>0</v>
      </c>
      <c r="F45" s="3">
        <f>23/40</f>
        <v>0.575</v>
      </c>
      <c r="G45" s="3">
        <v>1</v>
      </c>
      <c r="H45" s="3"/>
      <c r="I45" s="4">
        <f t="shared" si="2"/>
        <v>0.19374999999999998</v>
      </c>
      <c r="J45" s="4">
        <f t="shared" si="1"/>
        <v>0.21396909827760888</v>
      </c>
      <c r="L45" s="3"/>
      <c r="M45" s="3"/>
      <c r="N45" s="3"/>
      <c r="O45" s="15"/>
    </row>
    <row r="46" spans="1:15" ht="12.75">
      <c r="A46" t="s">
        <v>137</v>
      </c>
      <c r="B46" s="3">
        <f>4/5</f>
        <v>0.8</v>
      </c>
      <c r="C46" s="3">
        <f>4/4</f>
        <v>1</v>
      </c>
      <c r="D46" s="3">
        <f>4.5/5</f>
        <v>0.9</v>
      </c>
      <c r="E46" s="3">
        <f>3.75/4</f>
        <v>0.9375</v>
      </c>
      <c r="F46" s="3">
        <f>33.5/40</f>
        <v>0.8375</v>
      </c>
      <c r="G46" s="3">
        <v>1</v>
      </c>
      <c r="H46" s="3"/>
      <c r="I46" s="4">
        <f t="shared" si="2"/>
        <v>0.89</v>
      </c>
      <c r="J46" s="4">
        <f t="shared" si="1"/>
        <v>0.9828774062816615</v>
      </c>
      <c r="K46" s="13" t="s">
        <v>12</v>
      </c>
      <c r="L46" s="3"/>
      <c r="M46" s="3"/>
      <c r="N46" s="3"/>
      <c r="O46" s="15"/>
    </row>
    <row r="47" spans="1:15" ht="12.75">
      <c r="A47" t="s">
        <v>42</v>
      </c>
      <c r="B47" s="3">
        <f>0.25/5</f>
        <v>0.05</v>
      </c>
      <c r="C47" s="3">
        <f>2.75/4</f>
        <v>0.6875</v>
      </c>
      <c r="D47" s="3">
        <f>2.25/5</f>
        <v>0.45</v>
      </c>
      <c r="E47" s="3">
        <f>1.5/4</f>
        <v>0.375</v>
      </c>
      <c r="F47" s="3">
        <f>29.1/40</f>
        <v>0.7275</v>
      </c>
      <c r="G47" s="3">
        <v>1</v>
      </c>
      <c r="H47" s="3"/>
      <c r="I47" s="4">
        <f t="shared" si="2"/>
        <v>0.49125</v>
      </c>
      <c r="J47" s="4">
        <f t="shared" si="1"/>
        <v>0.5425151975683891</v>
      </c>
      <c r="L47" s="3"/>
      <c r="M47" s="3"/>
      <c r="N47" s="3"/>
      <c r="O47" s="15"/>
    </row>
    <row r="48" spans="1:15" ht="12.75">
      <c r="A48" t="s">
        <v>55</v>
      </c>
      <c r="B48" s="3">
        <f>0/5</f>
        <v>0</v>
      </c>
      <c r="C48" s="3">
        <f>0.5/4</f>
        <v>0.125</v>
      </c>
      <c r="D48" s="3">
        <f>0/5</f>
        <v>0</v>
      </c>
      <c r="E48" s="3">
        <f>0/4</f>
        <v>0</v>
      </c>
      <c r="F48" s="3">
        <f>26/40</f>
        <v>0.65</v>
      </c>
      <c r="G48" s="3">
        <v>1</v>
      </c>
      <c r="H48" s="3"/>
      <c r="I48" s="4">
        <f t="shared" si="2"/>
        <v>0.23125</v>
      </c>
      <c r="J48" s="4">
        <f t="shared" si="1"/>
        <v>0.25538247213779125</v>
      </c>
      <c r="K48" s="1"/>
      <c r="L48" s="3"/>
      <c r="M48" s="3"/>
      <c r="N48" s="3"/>
      <c r="O48" s="15"/>
    </row>
    <row r="49" spans="1:15" ht="12.75">
      <c r="A49" t="s">
        <v>49</v>
      </c>
      <c r="B49" s="3">
        <f>4.25/5</f>
        <v>0.85</v>
      </c>
      <c r="C49" s="3">
        <f>4/4</f>
        <v>1</v>
      </c>
      <c r="D49" s="3">
        <f>3/5</f>
        <v>0.6</v>
      </c>
      <c r="E49" s="3">
        <f>3.5/4</f>
        <v>0.875</v>
      </c>
      <c r="F49" s="3">
        <f>33.7/40</f>
        <v>0.8425</v>
      </c>
      <c r="G49" s="3">
        <v>1</v>
      </c>
      <c r="H49" s="3"/>
      <c r="I49" s="4">
        <f t="shared" si="2"/>
        <v>0.8318750000000001</v>
      </c>
      <c r="J49" s="4">
        <f t="shared" si="1"/>
        <v>0.918686676798379</v>
      </c>
      <c r="K49" s="1" t="s">
        <v>12</v>
      </c>
      <c r="L49" s="3"/>
      <c r="M49" s="3"/>
      <c r="N49" s="3"/>
      <c r="O49" s="15"/>
    </row>
    <row r="50" spans="1:15" ht="12.75">
      <c r="A50" t="s">
        <v>60</v>
      </c>
      <c r="B50" s="3">
        <f>0.25/5</f>
        <v>0.05</v>
      </c>
      <c r="C50" s="3">
        <f>2.5/4</f>
        <v>0.625</v>
      </c>
      <c r="D50" s="3">
        <f>0.25/5</f>
        <v>0.05</v>
      </c>
      <c r="E50" s="3">
        <f>0.5/4</f>
        <v>0.125</v>
      </c>
      <c r="F50" s="3">
        <f>26.9/40</f>
        <v>0.6725</v>
      </c>
      <c r="G50" s="3">
        <v>1</v>
      </c>
      <c r="H50" s="3"/>
      <c r="I50" s="4">
        <f t="shared" si="2"/>
        <v>0.350625</v>
      </c>
      <c r="J50" s="4">
        <f t="shared" si="1"/>
        <v>0.38721504559270514</v>
      </c>
      <c r="L50" s="3"/>
      <c r="M50" s="3"/>
      <c r="N50" s="3"/>
      <c r="O50" s="15"/>
    </row>
    <row r="51" spans="1:15" ht="12.75">
      <c r="A51" t="s">
        <v>58</v>
      </c>
      <c r="B51" s="3">
        <f>4.25/5</f>
        <v>0.85</v>
      </c>
      <c r="C51" s="3">
        <f>4/4</f>
        <v>1</v>
      </c>
      <c r="D51" s="3">
        <f>3.75/5</f>
        <v>0.75</v>
      </c>
      <c r="E51" s="3">
        <f>4/4</f>
        <v>1</v>
      </c>
      <c r="F51" s="7">
        <f>35.6/40</f>
        <v>0.89</v>
      </c>
      <c r="G51" s="3">
        <v>1</v>
      </c>
      <c r="H51" s="3"/>
      <c r="I51" s="4">
        <f t="shared" si="2"/>
        <v>0.8925000000000002</v>
      </c>
      <c r="J51" s="4">
        <f t="shared" si="1"/>
        <v>0.9856382978723406</v>
      </c>
      <c r="K51" s="1" t="s">
        <v>12</v>
      </c>
      <c r="L51" s="3"/>
      <c r="M51" s="3"/>
      <c r="N51" s="3"/>
      <c r="O51" s="15"/>
    </row>
    <row r="52" spans="1:15" ht="12.75">
      <c r="A52" t="s">
        <v>44</v>
      </c>
      <c r="B52" s="3">
        <f>0/5</f>
        <v>0</v>
      </c>
      <c r="C52" s="3">
        <f>2/4</f>
        <v>0.5</v>
      </c>
      <c r="D52" s="3">
        <f>0.25/5</f>
        <v>0.05</v>
      </c>
      <c r="E52" s="3">
        <f>0.75/4</f>
        <v>0.1875</v>
      </c>
      <c r="F52" s="3">
        <f>26.9/40</f>
        <v>0.6725</v>
      </c>
      <c r="G52" s="3">
        <v>1</v>
      </c>
      <c r="H52" s="3"/>
      <c r="I52" s="4">
        <f t="shared" si="2"/>
        <v>0.33125</v>
      </c>
      <c r="J52" s="4">
        <f t="shared" si="1"/>
        <v>0.3658181357649442</v>
      </c>
      <c r="K52" s="1"/>
      <c r="L52" s="3"/>
      <c r="M52" s="3"/>
      <c r="N52" s="3"/>
      <c r="O52" s="15"/>
    </row>
    <row r="53" spans="1:15" ht="12.75">
      <c r="A53" t="s">
        <v>51</v>
      </c>
      <c r="B53" s="3">
        <f>0.5/5</f>
        <v>0.1</v>
      </c>
      <c r="C53" s="3">
        <f>0.75/4</f>
        <v>0.1875</v>
      </c>
      <c r="D53" s="3">
        <f>0/5</f>
        <v>0</v>
      </c>
      <c r="E53" s="3">
        <f>0/4</f>
        <v>0</v>
      </c>
      <c r="F53" s="3">
        <f>24.9/40</f>
        <v>0.6224999999999999</v>
      </c>
      <c r="G53" s="3">
        <v>1</v>
      </c>
      <c r="H53" s="3"/>
      <c r="I53" s="4">
        <f t="shared" si="2"/>
        <v>0.25375</v>
      </c>
      <c r="J53" s="4">
        <f t="shared" si="1"/>
        <v>0.28023049645390063</v>
      </c>
      <c r="L53" s="3"/>
      <c r="M53" s="3"/>
      <c r="N53" s="3"/>
      <c r="O53" s="15"/>
    </row>
    <row r="54" spans="1:15" ht="12.75">
      <c r="A54" t="s">
        <v>43</v>
      </c>
      <c r="B54" s="3">
        <f>0.5/5</f>
        <v>0.1</v>
      </c>
      <c r="C54" s="3">
        <f>0.25/4</f>
        <v>0.0625</v>
      </c>
      <c r="D54" s="3">
        <f>0/5</f>
        <v>0</v>
      </c>
      <c r="E54" s="3">
        <f>1/4</f>
        <v>0.25</v>
      </c>
      <c r="F54" s="3">
        <f>27.2/40</f>
        <v>0.6799999999999999</v>
      </c>
      <c r="G54" s="3">
        <v>1</v>
      </c>
      <c r="H54" s="3"/>
      <c r="I54" s="4">
        <f t="shared" si="2"/>
        <v>0.286875</v>
      </c>
      <c r="J54" s="4">
        <f t="shared" si="1"/>
        <v>0.3168123100303951</v>
      </c>
      <c r="L54" s="3"/>
      <c r="M54" s="3"/>
      <c r="N54" s="3"/>
      <c r="O54" s="15"/>
    </row>
    <row r="55" spans="1:15" ht="12.75">
      <c r="A55" t="s">
        <v>52</v>
      </c>
      <c r="B55" s="3">
        <f>0.75/5</f>
        <v>0.15</v>
      </c>
      <c r="C55" s="3">
        <f>0.25/4</f>
        <v>0.0625</v>
      </c>
      <c r="D55" s="3">
        <f>0.25/5</f>
        <v>0.05</v>
      </c>
      <c r="E55" s="3">
        <f>0.5/4</f>
        <v>0.125</v>
      </c>
      <c r="F55" s="7">
        <f>25.6/40</f>
        <v>0.64</v>
      </c>
      <c r="G55" s="3">
        <v>1</v>
      </c>
      <c r="H55" s="3"/>
      <c r="I55" s="4">
        <f t="shared" si="2"/>
        <v>0.278125</v>
      </c>
      <c r="J55" s="4">
        <f t="shared" si="1"/>
        <v>0.3071491894630192</v>
      </c>
      <c r="L55" s="3"/>
      <c r="M55" s="3"/>
      <c r="N55" s="3"/>
      <c r="O55" s="15"/>
    </row>
    <row r="56" spans="1:15" ht="12.75">
      <c r="A56" t="s">
        <v>141</v>
      </c>
      <c r="B56" s="3"/>
      <c r="C56" s="3"/>
      <c r="D56" s="3"/>
      <c r="E56" s="3"/>
      <c r="F56" s="7"/>
      <c r="G56" s="7"/>
      <c r="H56" s="3"/>
      <c r="I56" s="4" t="s">
        <v>142</v>
      </c>
      <c r="J56" s="4"/>
      <c r="L56" s="3"/>
      <c r="M56" s="3"/>
      <c r="N56" s="3"/>
      <c r="O56" s="15"/>
    </row>
    <row r="57" spans="2:15" ht="12.75">
      <c r="B57" s="3"/>
      <c r="C57" s="3"/>
      <c r="D57" s="3"/>
      <c r="E57" s="3"/>
      <c r="F57" s="8"/>
      <c r="G57" s="8"/>
      <c r="H57" s="3"/>
      <c r="I57" s="4"/>
      <c r="J57" s="4"/>
      <c r="L57" s="3"/>
      <c r="M57" s="3"/>
      <c r="N57" s="3"/>
      <c r="O57" s="15"/>
    </row>
    <row r="58" spans="1:15" ht="12.75">
      <c r="A58" s="1" t="s">
        <v>63</v>
      </c>
      <c r="B58">
        <v>4</v>
      </c>
      <c r="C58">
        <v>4</v>
      </c>
      <c r="D58">
        <v>4</v>
      </c>
      <c r="E58">
        <v>4</v>
      </c>
      <c r="I58" s="4"/>
      <c r="J58" s="4"/>
      <c r="K58" s="5"/>
      <c r="L58" s="3"/>
      <c r="M58" s="3"/>
      <c r="N58" s="3"/>
      <c r="O58" s="15"/>
    </row>
    <row r="59" spans="1:15" ht="12.75">
      <c r="A59" t="s">
        <v>79</v>
      </c>
      <c r="B59" s="3">
        <f>0.25/5</f>
        <v>0.05</v>
      </c>
      <c r="C59" s="3">
        <f>1.25/4</f>
        <v>0.3125</v>
      </c>
      <c r="D59" s="3">
        <f>0/5</f>
        <v>0</v>
      </c>
      <c r="E59" s="3">
        <f>1.25/4</f>
        <v>0.3125</v>
      </c>
      <c r="F59" s="3">
        <f>25.7/40</f>
        <v>0.6425</v>
      </c>
      <c r="G59" s="3">
        <v>1</v>
      </c>
      <c r="H59" s="3"/>
      <c r="I59" s="4">
        <f aca="true" t="shared" si="3" ref="I59:I68">(B59+D59)*0.5*$B$3+(C59+E59)*0.5*$C$3+F59*$D$3+G59*$E$3+H59</f>
        <v>0.314375</v>
      </c>
      <c r="J59" s="4">
        <f t="shared" si="1"/>
        <v>0.3471821175278622</v>
      </c>
      <c r="K59" s="1"/>
      <c r="L59" s="3"/>
      <c r="M59" s="3"/>
      <c r="N59" s="3"/>
      <c r="O59" s="15"/>
    </row>
    <row r="60" spans="1:15" ht="12.75">
      <c r="A60" t="s">
        <v>80</v>
      </c>
      <c r="B60" s="3">
        <f>3/5</f>
        <v>0.6</v>
      </c>
      <c r="C60" s="3">
        <f>3.5/4</f>
        <v>0.875</v>
      </c>
      <c r="D60" s="3">
        <f>2.25/5</f>
        <v>0.45</v>
      </c>
      <c r="E60" s="3">
        <f>4/4</f>
        <v>1</v>
      </c>
      <c r="F60" s="3">
        <f>35.9/40</f>
        <v>0.8975</v>
      </c>
      <c r="G60" s="3">
        <v>1</v>
      </c>
      <c r="H60" s="3"/>
      <c r="I60" s="4">
        <f t="shared" si="3"/>
        <v>0.765625</v>
      </c>
      <c r="J60" s="4">
        <f t="shared" si="1"/>
        <v>0.84552304964539</v>
      </c>
      <c r="K60" s="1" t="s">
        <v>12</v>
      </c>
      <c r="L60" s="3"/>
      <c r="M60" s="3"/>
      <c r="N60" s="3"/>
      <c r="O60" s="15"/>
    </row>
    <row r="61" spans="1:15" ht="12.75">
      <c r="A61" t="s">
        <v>74</v>
      </c>
      <c r="B61" s="3">
        <f>1/5</f>
        <v>0.2</v>
      </c>
      <c r="C61" s="3">
        <f>1.75/4</f>
        <v>0.4375</v>
      </c>
      <c r="D61" s="3">
        <f>0.5/5</f>
        <v>0.1</v>
      </c>
      <c r="E61" s="3">
        <f>0.75/4</f>
        <v>0.1875</v>
      </c>
      <c r="F61" s="3">
        <f>31.3/40</f>
        <v>0.7825</v>
      </c>
      <c r="G61" s="3">
        <v>1</v>
      </c>
      <c r="H61" s="3"/>
      <c r="I61" s="4">
        <f t="shared" si="3"/>
        <v>0.399375</v>
      </c>
      <c r="J61" s="4">
        <f t="shared" si="1"/>
        <v>0.4410524316109422</v>
      </c>
      <c r="L61" s="3"/>
      <c r="M61" s="3"/>
      <c r="N61" s="3"/>
      <c r="O61" s="15"/>
    </row>
    <row r="62" spans="1:15" ht="12.75">
      <c r="A62" t="s">
        <v>83</v>
      </c>
      <c r="B62" s="3">
        <f>2/5</f>
        <v>0.4</v>
      </c>
      <c r="C62" s="3">
        <f>2.25/4</f>
        <v>0.5625</v>
      </c>
      <c r="D62" s="3">
        <f>1/5</f>
        <v>0.2</v>
      </c>
      <c r="E62" s="3">
        <f>3/4</f>
        <v>0.75</v>
      </c>
      <c r="F62" s="3">
        <f>30.5/40</f>
        <v>0.7625</v>
      </c>
      <c r="G62" s="3">
        <v>1</v>
      </c>
      <c r="H62" s="3"/>
      <c r="I62" s="4">
        <f t="shared" si="3"/>
        <v>0.5575000000000001</v>
      </c>
      <c r="J62" s="4">
        <f t="shared" si="1"/>
        <v>0.615678824721378</v>
      </c>
      <c r="L62" s="3"/>
      <c r="M62" s="3"/>
      <c r="N62" s="3"/>
      <c r="O62" s="15"/>
    </row>
    <row r="63" spans="1:15" ht="12.75">
      <c r="A63" t="s">
        <v>69</v>
      </c>
      <c r="B63" s="3">
        <f>0.25/5</f>
        <v>0.05</v>
      </c>
      <c r="C63" s="17">
        <v>0</v>
      </c>
      <c r="D63" s="3">
        <f>1/5</f>
        <v>0.2</v>
      </c>
      <c r="E63" s="3">
        <f>2.5/4</f>
        <v>0.625</v>
      </c>
      <c r="F63" s="3">
        <f>31.7/40</f>
        <v>0.7925</v>
      </c>
      <c r="G63" s="3">
        <v>1</v>
      </c>
      <c r="H63" s="3"/>
      <c r="I63" s="4">
        <f t="shared" si="3"/>
        <v>0.391875</v>
      </c>
      <c r="J63" s="4">
        <f t="shared" si="1"/>
        <v>0.43276975683890573</v>
      </c>
      <c r="K63" s="1"/>
      <c r="L63" s="3"/>
      <c r="M63" s="3"/>
      <c r="N63" s="3"/>
      <c r="O63" s="15"/>
    </row>
    <row r="64" spans="1:15" ht="12.75">
      <c r="A64" t="s">
        <v>73</v>
      </c>
      <c r="B64" s="3">
        <f>0.75/5</f>
        <v>0.15</v>
      </c>
      <c r="C64" s="3">
        <f>2.5/4</f>
        <v>0.625</v>
      </c>
      <c r="D64" s="3">
        <f>1.75/5</f>
        <v>0.35</v>
      </c>
      <c r="E64" s="3">
        <f>2.25/4</f>
        <v>0.5625</v>
      </c>
      <c r="F64" s="3">
        <f>32.6/40</f>
        <v>0.8150000000000001</v>
      </c>
      <c r="G64" s="3">
        <v>1</v>
      </c>
      <c r="H64" s="3"/>
      <c r="I64" s="4">
        <f t="shared" si="3"/>
        <v>0.5318750000000001</v>
      </c>
      <c r="J64" s="4">
        <f t="shared" si="1"/>
        <v>0.58737968591692</v>
      </c>
      <c r="L64" s="3"/>
      <c r="M64" s="3"/>
      <c r="N64" s="3"/>
      <c r="O64" s="15"/>
    </row>
    <row r="65" spans="1:15" ht="12.75">
      <c r="A65" t="s">
        <v>64</v>
      </c>
      <c r="B65" s="3">
        <f>0.5/5</f>
        <v>0.1</v>
      </c>
      <c r="C65" s="3">
        <f>0.5/4</f>
        <v>0.125</v>
      </c>
      <c r="D65" s="3">
        <f>1.25/5</f>
        <v>0.25</v>
      </c>
      <c r="E65" s="3">
        <f>2.5/4</f>
        <v>0.625</v>
      </c>
      <c r="F65" s="3">
        <f>33.6/40</f>
        <v>0.8400000000000001</v>
      </c>
      <c r="G65" s="3">
        <v>1</v>
      </c>
      <c r="H65" s="3"/>
      <c r="I65" s="4">
        <f t="shared" si="3"/>
        <v>0.4425</v>
      </c>
      <c r="J65" s="4">
        <f t="shared" si="1"/>
        <v>0.48867781155015194</v>
      </c>
      <c r="L65" s="3"/>
      <c r="M65" s="3"/>
      <c r="N65" s="3"/>
      <c r="O65" s="15"/>
    </row>
    <row r="66" spans="1:15" ht="12.75">
      <c r="A66" t="s">
        <v>82</v>
      </c>
      <c r="B66" s="3">
        <f>3.5/5</f>
        <v>0.7</v>
      </c>
      <c r="C66" s="3">
        <f>2.5/4</f>
        <v>0.625</v>
      </c>
      <c r="D66" s="3">
        <f>2.25/5</f>
        <v>0.45</v>
      </c>
      <c r="E66" s="3">
        <f>1.75/4</f>
        <v>0.4375</v>
      </c>
      <c r="F66" s="3">
        <f>33.6/40</f>
        <v>0.8400000000000001</v>
      </c>
      <c r="G66" s="3">
        <v>1</v>
      </c>
      <c r="H66" s="3"/>
      <c r="I66" s="4">
        <f t="shared" si="3"/>
        <v>0.649375</v>
      </c>
      <c r="J66" s="4">
        <f t="shared" si="1"/>
        <v>0.7171415906788247</v>
      </c>
      <c r="K66" s="13" t="s">
        <v>11</v>
      </c>
      <c r="L66" s="3"/>
      <c r="M66" s="3"/>
      <c r="N66" s="3"/>
      <c r="O66" s="15"/>
    </row>
    <row r="67" spans="1:15" ht="12.75">
      <c r="A67" t="s">
        <v>75</v>
      </c>
      <c r="B67" s="3">
        <f>1.25/5</f>
        <v>0.25</v>
      </c>
      <c r="C67" s="3">
        <f>0.5/4</f>
        <v>0.125</v>
      </c>
      <c r="D67" s="3">
        <f>0.5/5</f>
        <v>0.1</v>
      </c>
      <c r="E67" s="3">
        <f>2.25/4</f>
        <v>0.5625</v>
      </c>
      <c r="F67" s="3">
        <f>29.7/40</f>
        <v>0.7424999999999999</v>
      </c>
      <c r="G67" s="3">
        <v>1</v>
      </c>
      <c r="H67" s="3"/>
      <c r="I67" s="4">
        <f t="shared" si="3"/>
        <v>0.40874999999999995</v>
      </c>
      <c r="J67" s="4">
        <f t="shared" si="1"/>
        <v>0.4514057750759877</v>
      </c>
      <c r="L67" s="3"/>
      <c r="M67" s="3"/>
      <c r="N67" s="3"/>
      <c r="O67" s="15"/>
    </row>
    <row r="68" spans="1:15" ht="12.75">
      <c r="A68" t="s">
        <v>65</v>
      </c>
      <c r="B68" s="3">
        <f>0.75/5</f>
        <v>0.15</v>
      </c>
      <c r="C68" s="3">
        <f>2/4</f>
        <v>0.5</v>
      </c>
      <c r="D68" s="3">
        <f>1.75/5</f>
        <v>0.35</v>
      </c>
      <c r="E68" s="3">
        <f>2/4</f>
        <v>0.5</v>
      </c>
      <c r="F68" s="3">
        <f>27.9/40</f>
        <v>0.6975</v>
      </c>
      <c r="G68" s="3">
        <v>1</v>
      </c>
      <c r="H68" s="3"/>
      <c r="I68" s="4">
        <f t="shared" si="3"/>
        <v>0.474375</v>
      </c>
      <c r="J68" s="4">
        <f t="shared" si="1"/>
        <v>0.5238791793313069</v>
      </c>
      <c r="L68" s="3"/>
      <c r="M68" s="3"/>
      <c r="N68" s="3"/>
      <c r="O68" s="15"/>
    </row>
    <row r="69" spans="1:15" ht="12.75">
      <c r="A69" t="s">
        <v>132</v>
      </c>
      <c r="B69" s="3">
        <f>1/5</f>
        <v>0.2</v>
      </c>
      <c r="C69" s="17"/>
      <c r="D69" s="3">
        <f>0/5</f>
        <v>0</v>
      </c>
      <c r="E69" s="17"/>
      <c r="F69" s="3">
        <f>18/35</f>
        <v>0.5142857142857142</v>
      </c>
      <c r="G69" s="3">
        <v>1</v>
      </c>
      <c r="H69" s="3"/>
      <c r="I69" s="4" t="s">
        <v>145</v>
      </c>
      <c r="J69" s="4"/>
      <c r="K69" s="13" t="s">
        <v>143</v>
      </c>
      <c r="L69" s="3"/>
      <c r="M69" s="3"/>
      <c r="N69" s="3"/>
      <c r="O69" s="15"/>
    </row>
    <row r="70" spans="1:15" ht="12.75">
      <c r="A70" t="s">
        <v>68</v>
      </c>
      <c r="B70" s="3">
        <f>1.5/5</f>
        <v>0.3</v>
      </c>
      <c r="C70" s="3">
        <f>3.25/4</f>
        <v>0.8125</v>
      </c>
      <c r="D70" s="3">
        <f>0/5</f>
        <v>0</v>
      </c>
      <c r="E70" s="3">
        <f>3/4</f>
        <v>0.75</v>
      </c>
      <c r="F70" s="3">
        <f>29.6/40</f>
        <v>0.74</v>
      </c>
      <c r="G70" s="3">
        <v>1</v>
      </c>
      <c r="H70" s="3"/>
      <c r="I70" s="4">
        <f>(B70+D70)*0.5*$B$3+(C70+E70)*0.5*$C$3+F70*$D$3+G70*$E$3+H70</f>
        <v>0.529375</v>
      </c>
      <c r="J70" s="4">
        <f t="shared" si="1"/>
        <v>0.5846187943262411</v>
      </c>
      <c r="K70" s="1"/>
      <c r="L70" s="3"/>
      <c r="M70" s="3"/>
      <c r="N70" s="3"/>
      <c r="O70" s="15"/>
    </row>
    <row r="71" spans="1:15" ht="12.75">
      <c r="A71" t="s">
        <v>70</v>
      </c>
      <c r="B71" s="3">
        <f>0.25/5</f>
        <v>0.05</v>
      </c>
      <c r="C71" s="3">
        <f>0.25/4</f>
        <v>0.0625</v>
      </c>
      <c r="D71" s="3">
        <f>0/5</f>
        <v>0</v>
      </c>
      <c r="E71" s="3">
        <f>0/4</f>
        <v>0</v>
      </c>
      <c r="F71" s="3">
        <f>26.8/40</f>
        <v>0.67</v>
      </c>
      <c r="G71" s="3">
        <v>1</v>
      </c>
      <c r="H71" s="3"/>
      <c r="I71" s="4">
        <f>(B71+D71)*0.5*$B$3+(C71+E71)*0.5*$C$3+F71*$D$3+G71*$E$3+H71</f>
        <v>0.236875</v>
      </c>
      <c r="J71" s="4">
        <f t="shared" si="1"/>
        <v>0.26159447821681864</v>
      </c>
      <c r="K71" s="1"/>
      <c r="L71" s="3"/>
      <c r="M71" s="3"/>
      <c r="N71" s="3"/>
      <c r="O71" s="15"/>
    </row>
    <row r="72" spans="1:15" ht="12.75">
      <c r="A72" t="s">
        <v>76</v>
      </c>
      <c r="B72" s="3">
        <f>1/5</f>
        <v>0.2</v>
      </c>
      <c r="C72" s="3">
        <f>0.5/4</f>
        <v>0.125</v>
      </c>
      <c r="D72" s="3">
        <f>1.5/5</f>
        <v>0.3</v>
      </c>
      <c r="E72" s="3">
        <f>2/4</f>
        <v>0.5</v>
      </c>
      <c r="F72" s="3">
        <f>31.7/40</f>
        <v>0.7925</v>
      </c>
      <c r="G72" s="3">
        <v>1</v>
      </c>
      <c r="H72" s="3"/>
      <c r="I72" s="4">
        <f>(B72+D72)*0.5*$B$3+(C72+E72)*0.5*$C$3+F72*$D$3+G72*$E$3+H72</f>
        <v>0.44187499999999996</v>
      </c>
      <c r="J72" s="4">
        <f aca="true" t="shared" si="4" ref="J72:J128">I72/$I$3*0.5</f>
        <v>0.4879875886524822</v>
      </c>
      <c r="K72" s="1"/>
      <c r="L72" s="3"/>
      <c r="M72" s="3"/>
      <c r="N72" s="3"/>
      <c r="O72" s="15"/>
    </row>
    <row r="73" spans="1:15" ht="12.75">
      <c r="A73" t="s">
        <v>81</v>
      </c>
      <c r="B73" s="3">
        <f>1.75/5</f>
        <v>0.35</v>
      </c>
      <c r="C73" s="3">
        <f>3/4</f>
        <v>0.75</v>
      </c>
      <c r="D73" s="3">
        <f>1/5</f>
        <v>0.2</v>
      </c>
      <c r="E73" s="3">
        <f>3.5/4</f>
        <v>0.875</v>
      </c>
      <c r="F73" s="3">
        <f>28.4/40</f>
        <v>0.71</v>
      </c>
      <c r="G73" s="3">
        <v>1</v>
      </c>
      <c r="H73" s="3"/>
      <c r="I73" s="4">
        <f>(B73+D73)*0.5*$B$3+(C73+E73)*0.5*$C$3+F73*$D$3+G73*$E$3+H73</f>
        <v>0.58125</v>
      </c>
      <c r="J73" s="4">
        <f t="shared" si="4"/>
        <v>0.6419072948328267</v>
      </c>
      <c r="K73" s="1"/>
      <c r="L73" s="3"/>
      <c r="M73" s="3"/>
      <c r="N73" s="3"/>
      <c r="O73" s="15"/>
    </row>
    <row r="74" spans="1:15" ht="12.75">
      <c r="A74" t="s">
        <v>134</v>
      </c>
      <c r="B74" s="3">
        <f>0/5</f>
        <v>0</v>
      </c>
      <c r="C74" s="3"/>
      <c r="D74" s="3">
        <f>0/5</f>
        <v>0</v>
      </c>
      <c r="E74" s="3"/>
      <c r="F74" s="3">
        <f>21/35</f>
        <v>0.6</v>
      </c>
      <c r="G74" s="3">
        <v>1</v>
      </c>
      <c r="H74" s="3"/>
      <c r="I74" s="4" t="s">
        <v>146</v>
      </c>
      <c r="J74" s="4"/>
      <c r="K74" s="1" t="s">
        <v>143</v>
      </c>
      <c r="L74" s="3"/>
      <c r="M74" s="3"/>
      <c r="N74" s="3"/>
      <c r="O74" s="15"/>
    </row>
    <row r="75" spans="1:15" ht="12.75">
      <c r="A75" t="s">
        <v>78</v>
      </c>
      <c r="B75" s="3">
        <f>3.75/5</f>
        <v>0.75</v>
      </c>
      <c r="C75" s="3">
        <f>2.5/4</f>
        <v>0.625</v>
      </c>
      <c r="D75" s="3">
        <f>2.25/5</f>
        <v>0.45</v>
      </c>
      <c r="E75" s="3">
        <f>3.5/4</f>
        <v>0.875</v>
      </c>
      <c r="F75" s="3">
        <f>30.8/40</f>
        <v>0.77</v>
      </c>
      <c r="G75" s="3">
        <v>1</v>
      </c>
      <c r="H75" s="3"/>
      <c r="I75" s="4">
        <f aca="true" t="shared" si="5" ref="I75:I81">(B75+D75)*0.5*$B$3+(C75+E75)*0.5*$C$3+F75*$D$3+G75*$E$3+H75</f>
        <v>0.7075</v>
      </c>
      <c r="J75" s="4">
        <f t="shared" si="4"/>
        <v>0.7813323201621073</v>
      </c>
      <c r="K75" s="1" t="s">
        <v>11</v>
      </c>
      <c r="L75" s="3"/>
      <c r="M75" s="3"/>
      <c r="N75" s="3"/>
      <c r="O75" s="15"/>
    </row>
    <row r="76" spans="1:15" ht="12.75">
      <c r="A76" t="s">
        <v>66</v>
      </c>
      <c r="B76" s="3">
        <f>1.75/5</f>
        <v>0.35</v>
      </c>
      <c r="C76" s="3">
        <f>3.75/4</f>
        <v>0.9375</v>
      </c>
      <c r="D76" s="3">
        <f>1.75/5</f>
        <v>0.35</v>
      </c>
      <c r="E76" s="3">
        <f>3.25/4</f>
        <v>0.8125</v>
      </c>
      <c r="F76" s="3">
        <f>31.9/40</f>
        <v>0.7975</v>
      </c>
      <c r="G76" s="3">
        <v>1</v>
      </c>
      <c r="H76" s="3"/>
      <c r="I76" s="4">
        <f t="shared" si="5"/>
        <v>0.651875</v>
      </c>
      <c r="J76" s="4">
        <f t="shared" si="4"/>
        <v>0.7199024822695035</v>
      </c>
      <c r="K76" s="1" t="s">
        <v>11</v>
      </c>
      <c r="L76" s="3"/>
      <c r="M76" s="3"/>
      <c r="N76" s="3"/>
      <c r="O76" s="15"/>
    </row>
    <row r="77" spans="1:15" ht="12.75">
      <c r="A77" t="s">
        <v>77</v>
      </c>
      <c r="B77" s="3">
        <f>1/5</f>
        <v>0.2</v>
      </c>
      <c r="C77" s="3">
        <f>0.75/4</f>
        <v>0.1875</v>
      </c>
      <c r="D77" s="3">
        <f>0.5/5</f>
        <v>0.1</v>
      </c>
      <c r="E77" s="3">
        <f>1.5/4</f>
        <v>0.375</v>
      </c>
      <c r="F77" s="3">
        <f>27.6/40</f>
        <v>0.6900000000000001</v>
      </c>
      <c r="G77" s="3">
        <v>1</v>
      </c>
      <c r="H77" s="3"/>
      <c r="I77" s="4">
        <f t="shared" si="5"/>
        <v>0.366875</v>
      </c>
      <c r="J77" s="4">
        <f t="shared" si="4"/>
        <v>0.4051608409321175</v>
      </c>
      <c r="L77" s="3"/>
      <c r="M77" s="3"/>
      <c r="N77" s="3"/>
      <c r="O77" s="15"/>
    </row>
    <row r="78" spans="1:15" ht="12.75">
      <c r="A78" t="s">
        <v>71</v>
      </c>
      <c r="B78" s="3">
        <f>3/5</f>
        <v>0.6</v>
      </c>
      <c r="C78" s="3">
        <f>4/4</f>
        <v>1</v>
      </c>
      <c r="D78" s="3">
        <f>2.25/5</f>
        <v>0.45</v>
      </c>
      <c r="E78" s="3">
        <f>4/4</f>
        <v>1</v>
      </c>
      <c r="F78" s="3">
        <f>35.6/40</f>
        <v>0.89</v>
      </c>
      <c r="G78" s="3">
        <v>1</v>
      </c>
      <c r="H78" s="3"/>
      <c r="I78" s="4">
        <f t="shared" si="5"/>
        <v>0.7825000000000001</v>
      </c>
      <c r="J78" s="4">
        <f t="shared" si="4"/>
        <v>0.8641590678824722</v>
      </c>
      <c r="K78" s="1" t="s">
        <v>12</v>
      </c>
      <c r="L78" s="3"/>
      <c r="M78" s="3"/>
      <c r="N78" s="3"/>
      <c r="O78" s="15"/>
    </row>
    <row r="79" spans="1:15" ht="12.75">
      <c r="A79" t="s">
        <v>67</v>
      </c>
      <c r="B79" s="3">
        <f>1/5</f>
        <v>0.2</v>
      </c>
      <c r="C79" s="3">
        <f>0.25/4</f>
        <v>0.0625</v>
      </c>
      <c r="D79" s="3">
        <f>0.25/5</f>
        <v>0.05</v>
      </c>
      <c r="E79" s="3">
        <f>1.75/4</f>
        <v>0.4375</v>
      </c>
      <c r="F79" s="3">
        <f>24.9/40</f>
        <v>0.6224999999999999</v>
      </c>
      <c r="G79" s="3">
        <v>1</v>
      </c>
      <c r="H79" s="3"/>
      <c r="I79" s="4">
        <f t="shared" si="5"/>
        <v>0.330625</v>
      </c>
      <c r="J79" s="4">
        <f t="shared" si="4"/>
        <v>0.36512791286727453</v>
      </c>
      <c r="L79" s="3"/>
      <c r="M79" s="3"/>
      <c r="N79" s="3"/>
      <c r="O79" s="15"/>
    </row>
    <row r="80" spans="1:15" ht="12.75">
      <c r="A80" t="s">
        <v>72</v>
      </c>
      <c r="B80" s="3">
        <f>0.25/5</f>
        <v>0.05</v>
      </c>
      <c r="C80" s="3">
        <f>0.75/4</f>
        <v>0.1875</v>
      </c>
      <c r="D80" s="3">
        <f>0.5/5</f>
        <v>0.1</v>
      </c>
      <c r="E80" s="3">
        <f>2/4</f>
        <v>0.5</v>
      </c>
      <c r="F80" s="3">
        <f>27.3/40</f>
        <v>0.6825</v>
      </c>
      <c r="G80" s="3">
        <v>1</v>
      </c>
      <c r="H80" s="3"/>
      <c r="I80" s="4">
        <f t="shared" si="5"/>
        <v>0.35374999999999995</v>
      </c>
      <c r="J80" s="4">
        <f t="shared" si="4"/>
        <v>0.3906661600810536</v>
      </c>
      <c r="L80" s="3"/>
      <c r="M80" s="3"/>
      <c r="N80" s="3"/>
      <c r="O80" s="15"/>
    </row>
    <row r="81" spans="1:15" ht="12.75">
      <c r="A81" t="s">
        <v>133</v>
      </c>
      <c r="B81" s="3">
        <f>0/5</f>
        <v>0</v>
      </c>
      <c r="C81" s="3"/>
      <c r="D81" s="3">
        <f>0/5</f>
        <v>0</v>
      </c>
      <c r="E81" s="3"/>
      <c r="F81" s="3">
        <f>25.4/40</f>
        <v>0.635</v>
      </c>
      <c r="G81" s="3">
        <v>1</v>
      </c>
      <c r="H81" s="3"/>
      <c r="I81" s="4">
        <f t="shared" si="5"/>
        <v>0.20875</v>
      </c>
      <c r="J81" s="4">
        <f t="shared" si="4"/>
        <v>0.23053444782168184</v>
      </c>
      <c r="K81" s="13" t="s">
        <v>143</v>
      </c>
      <c r="L81" s="3"/>
      <c r="M81" s="3"/>
      <c r="N81" s="3"/>
      <c r="O81" s="15"/>
    </row>
    <row r="82" spans="2:15" ht="12.75">
      <c r="B82" s="3"/>
      <c r="C82" s="3"/>
      <c r="D82" s="3"/>
      <c r="E82" s="3"/>
      <c r="F82" s="3"/>
      <c r="G82" s="3"/>
      <c r="H82" s="3"/>
      <c r="I82" s="4"/>
      <c r="J82" s="4"/>
      <c r="N82" s="3"/>
      <c r="O82" s="15"/>
    </row>
    <row r="83" spans="1:15" ht="12.75">
      <c r="A83" s="1" t="s">
        <v>84</v>
      </c>
      <c r="B83" s="11">
        <v>5</v>
      </c>
      <c r="C83" s="11">
        <v>4</v>
      </c>
      <c r="D83" s="11">
        <v>5</v>
      </c>
      <c r="E83" s="11">
        <v>4</v>
      </c>
      <c r="F83" s="3"/>
      <c r="G83" s="3"/>
      <c r="H83" s="3"/>
      <c r="I83" s="4"/>
      <c r="J83" s="4"/>
      <c r="N83" s="3"/>
      <c r="O83" s="15"/>
    </row>
    <row r="84" spans="1:15" ht="12.75">
      <c r="A84" s="16" t="s">
        <v>135</v>
      </c>
      <c r="B84" s="3">
        <f>0.25/5</f>
        <v>0.05</v>
      </c>
      <c r="C84" s="3">
        <f>0/4</f>
        <v>0</v>
      </c>
      <c r="D84" s="3">
        <f>0/5</f>
        <v>0</v>
      </c>
      <c r="E84" s="3">
        <f>0/4</f>
        <v>0</v>
      </c>
      <c r="F84" s="3">
        <f>25.5/40</f>
        <v>0.6375</v>
      </c>
      <c r="G84" s="3">
        <v>1</v>
      </c>
      <c r="H84" s="3"/>
      <c r="I84" s="4">
        <f aca="true" t="shared" si="6" ref="I84:I91">(B84+D84)*0.5*$B$3+(C84+E84)*0.5*$C$3+F84*$D$3+G84*$E$3+H84</f>
        <v>0.219375</v>
      </c>
      <c r="J84" s="4">
        <f t="shared" si="4"/>
        <v>0.24226823708206682</v>
      </c>
      <c r="N84" s="3"/>
      <c r="O84" s="15"/>
    </row>
    <row r="85" spans="1:15" ht="12.75">
      <c r="A85" t="s">
        <v>92</v>
      </c>
      <c r="B85" s="3">
        <f>2.75/5</f>
        <v>0.55</v>
      </c>
      <c r="C85" s="3">
        <f>3.5/4</f>
        <v>0.875</v>
      </c>
      <c r="D85" s="3">
        <f>1.5/5</f>
        <v>0.3</v>
      </c>
      <c r="E85" s="3">
        <f>3.5/4</f>
        <v>0.875</v>
      </c>
      <c r="F85" s="3">
        <f>37/40</f>
        <v>0.925</v>
      </c>
      <c r="G85" s="3">
        <v>1</v>
      </c>
      <c r="H85" s="3"/>
      <c r="I85" s="4">
        <f t="shared" si="6"/>
        <v>0.7137500000000001</v>
      </c>
      <c r="J85" s="4">
        <f t="shared" si="4"/>
        <v>0.7882345491388045</v>
      </c>
      <c r="K85" s="1" t="s">
        <v>11</v>
      </c>
      <c r="L85" s="3"/>
      <c r="M85" s="3"/>
      <c r="N85" s="3"/>
      <c r="O85" s="15"/>
    </row>
    <row r="86" spans="1:15" ht="12.75">
      <c r="A86" t="s">
        <v>94</v>
      </c>
      <c r="B86" s="3">
        <f>2.75/5</f>
        <v>0.55</v>
      </c>
      <c r="C86" s="3">
        <f>3/4</f>
        <v>0.75</v>
      </c>
      <c r="D86" s="3">
        <f>1.75/5</f>
        <v>0.35</v>
      </c>
      <c r="E86" s="3">
        <f>1.5/4</f>
        <v>0.375</v>
      </c>
      <c r="F86" s="17">
        <v>0</v>
      </c>
      <c r="G86" s="3">
        <v>1</v>
      </c>
      <c r="H86" s="3"/>
      <c r="I86" s="4">
        <f t="shared" si="6"/>
        <v>0.39875</v>
      </c>
      <c r="J86" s="4">
        <f t="shared" si="4"/>
        <v>0.4403622087132725</v>
      </c>
      <c r="K86" s="1" t="s">
        <v>147</v>
      </c>
      <c r="L86" s="3"/>
      <c r="M86" s="3"/>
      <c r="N86" s="3"/>
      <c r="O86" s="15"/>
    </row>
    <row r="87" spans="1:15" ht="12.75">
      <c r="A87" t="s">
        <v>101</v>
      </c>
      <c r="B87" s="3">
        <f>0/5</f>
        <v>0</v>
      </c>
      <c r="C87" s="3">
        <f>3/4</f>
        <v>0.75</v>
      </c>
      <c r="D87" s="3">
        <f>0/5</f>
        <v>0</v>
      </c>
      <c r="E87" s="3">
        <f>0.5/4</f>
        <v>0.125</v>
      </c>
      <c r="F87" s="17">
        <f>25/40</f>
        <v>0.625</v>
      </c>
      <c r="G87" s="3">
        <v>1</v>
      </c>
      <c r="H87" s="3"/>
      <c r="I87" s="4">
        <f t="shared" si="6"/>
        <v>0.33749999999999997</v>
      </c>
      <c r="J87" s="4">
        <f t="shared" si="4"/>
        <v>0.3727203647416413</v>
      </c>
      <c r="K87" s="1"/>
      <c r="L87" s="3"/>
      <c r="M87" s="3"/>
      <c r="N87" s="3"/>
      <c r="O87" s="15"/>
    </row>
    <row r="88" spans="1:15" ht="12.75">
      <c r="A88" t="s">
        <v>87</v>
      </c>
      <c r="B88" s="3">
        <f>1.75/5</f>
        <v>0.35</v>
      </c>
      <c r="C88" s="3">
        <f>0/4</f>
        <v>0</v>
      </c>
      <c r="D88" s="3">
        <f>0.25/5</f>
        <v>0.05</v>
      </c>
      <c r="E88" s="3">
        <f>0/4</f>
        <v>0</v>
      </c>
      <c r="F88" s="3">
        <f>33/40</f>
        <v>0.825</v>
      </c>
      <c r="G88" s="3">
        <v>1</v>
      </c>
      <c r="H88" s="3"/>
      <c r="I88" s="4">
        <f t="shared" si="6"/>
        <v>0.33625</v>
      </c>
      <c r="J88" s="4">
        <f t="shared" si="4"/>
        <v>0.37133991894630186</v>
      </c>
      <c r="L88" s="3"/>
      <c r="M88" s="3"/>
      <c r="N88" s="3"/>
      <c r="O88" s="15"/>
    </row>
    <row r="89" spans="1:15" ht="12.75">
      <c r="A89" t="s">
        <v>91</v>
      </c>
      <c r="B89" s="3">
        <f>0.25/5</f>
        <v>0.05</v>
      </c>
      <c r="C89" s="3">
        <f>0.25/4</f>
        <v>0.0625</v>
      </c>
      <c r="D89" s="3">
        <f>0/5</f>
        <v>0</v>
      </c>
      <c r="E89" s="3">
        <f>0/4</f>
        <v>0</v>
      </c>
      <c r="F89" s="3">
        <f>30/40</f>
        <v>0.75</v>
      </c>
      <c r="G89" s="3">
        <v>1</v>
      </c>
      <c r="H89" s="3"/>
      <c r="I89" s="4">
        <f t="shared" si="6"/>
        <v>0.256875</v>
      </c>
      <c r="J89" s="4">
        <f t="shared" si="4"/>
        <v>0.28368161094224925</v>
      </c>
      <c r="K89" s="1"/>
      <c r="L89" s="3"/>
      <c r="M89" s="3"/>
      <c r="N89" s="3"/>
      <c r="O89" s="15"/>
    </row>
    <row r="90" spans="1:15" ht="12.75">
      <c r="A90" t="s">
        <v>93</v>
      </c>
      <c r="B90" s="3">
        <f>0/5</f>
        <v>0</v>
      </c>
      <c r="C90" s="3">
        <f>0.75/4</f>
        <v>0.1875</v>
      </c>
      <c r="D90" s="3">
        <f>0/5</f>
        <v>0</v>
      </c>
      <c r="E90" s="3">
        <f>0/4</f>
        <v>0</v>
      </c>
      <c r="F90" s="3">
        <f>33/40</f>
        <v>0.825</v>
      </c>
      <c r="G90" s="3">
        <v>1</v>
      </c>
      <c r="H90" s="3"/>
      <c r="I90" s="4">
        <f t="shared" si="6"/>
        <v>0.284375</v>
      </c>
      <c r="J90" s="4">
        <f t="shared" si="4"/>
        <v>0.3140514184397163</v>
      </c>
      <c r="K90" s="1"/>
      <c r="L90" s="3"/>
      <c r="M90" s="3"/>
      <c r="N90" s="3"/>
      <c r="O90" s="15"/>
    </row>
    <row r="91" spans="1:15" ht="12.75">
      <c r="A91" t="s">
        <v>97</v>
      </c>
      <c r="B91" s="3">
        <f>1.25/5</f>
        <v>0.25</v>
      </c>
      <c r="C91" s="3">
        <f>2/4</f>
        <v>0.5</v>
      </c>
      <c r="D91" s="3">
        <f>1.5/5</f>
        <v>0.3</v>
      </c>
      <c r="E91" s="3">
        <f>3/4</f>
        <v>0.75</v>
      </c>
      <c r="F91" s="3">
        <f>31/40</f>
        <v>0.775</v>
      </c>
      <c r="G91" s="3">
        <v>1</v>
      </c>
      <c r="H91" s="3"/>
      <c r="I91" s="4">
        <f t="shared" si="6"/>
        <v>0.54125</v>
      </c>
      <c r="J91" s="4">
        <f t="shared" si="4"/>
        <v>0.5977330293819655</v>
      </c>
      <c r="K91" s="1"/>
      <c r="L91" s="3"/>
      <c r="M91" s="3"/>
      <c r="N91" s="3"/>
      <c r="O91" s="15"/>
    </row>
    <row r="92" spans="1:15" ht="12.75">
      <c r="A92" t="s">
        <v>136</v>
      </c>
      <c r="B92" s="3"/>
      <c r="C92" s="3">
        <f>0.25/4</f>
        <v>0.0625</v>
      </c>
      <c r="D92" s="3"/>
      <c r="E92" s="3">
        <f>1.5/4</f>
        <v>0.375</v>
      </c>
      <c r="F92" s="3"/>
      <c r="G92" s="3">
        <v>1</v>
      </c>
      <c r="H92" s="3"/>
      <c r="I92" s="4" t="s">
        <v>144</v>
      </c>
      <c r="J92" s="4"/>
      <c r="K92" s="1" t="s">
        <v>143</v>
      </c>
      <c r="L92" s="3"/>
      <c r="M92" s="3"/>
      <c r="N92" s="3"/>
      <c r="O92" s="15"/>
    </row>
    <row r="93" spans="1:15" ht="12.75">
      <c r="A93" t="s">
        <v>96</v>
      </c>
      <c r="B93" s="3">
        <f>0.75/5</f>
        <v>0.15</v>
      </c>
      <c r="C93" s="3">
        <f>0.75/4</f>
        <v>0.1875</v>
      </c>
      <c r="D93" s="3">
        <f>0.25/5</f>
        <v>0.05</v>
      </c>
      <c r="E93" s="3">
        <f>0.5/4</f>
        <v>0.125</v>
      </c>
      <c r="F93" s="3">
        <f>32/40</f>
        <v>0.8</v>
      </c>
      <c r="G93" s="3">
        <v>1</v>
      </c>
      <c r="H93" s="3"/>
      <c r="I93" s="4">
        <f aca="true" t="shared" si="7" ref="I93:I104">(B93+D93)*0.5*$B$3+(C93+E93)*0.5*$C$3+F93*$D$3+G93*$E$3+H93</f>
        <v>0.336875</v>
      </c>
      <c r="J93" s="4">
        <f t="shared" si="4"/>
        <v>0.3720301418439716</v>
      </c>
      <c r="K93" s="1"/>
      <c r="L93" s="3"/>
      <c r="M93" s="3"/>
      <c r="N93" s="3"/>
      <c r="O93" s="15"/>
    </row>
    <row r="94" spans="1:15" ht="12.75">
      <c r="A94" t="s">
        <v>102</v>
      </c>
      <c r="B94" s="3">
        <f>1.25/5</f>
        <v>0.25</v>
      </c>
      <c r="C94" s="3">
        <f>2.25/4</f>
        <v>0.5625</v>
      </c>
      <c r="D94" s="3">
        <f>2.5/5</f>
        <v>0.5</v>
      </c>
      <c r="E94" s="3">
        <f>2.5/4</f>
        <v>0.625</v>
      </c>
      <c r="F94" s="3">
        <f>32/40</f>
        <v>0.8</v>
      </c>
      <c r="G94" s="3">
        <v>1</v>
      </c>
      <c r="H94" s="3"/>
      <c r="I94" s="4">
        <f t="shared" si="7"/>
        <v>0.578125</v>
      </c>
      <c r="J94" s="4">
        <f t="shared" si="4"/>
        <v>0.6384561803444782</v>
      </c>
      <c r="K94" s="1"/>
      <c r="L94" s="3"/>
      <c r="M94" s="3"/>
      <c r="N94" s="3"/>
      <c r="O94" s="15"/>
    </row>
    <row r="95" spans="1:15" ht="12.75">
      <c r="A95" t="s">
        <v>95</v>
      </c>
      <c r="B95" s="3">
        <f>0/5</f>
        <v>0</v>
      </c>
      <c r="C95" s="17">
        <v>0</v>
      </c>
      <c r="D95" s="17">
        <v>0</v>
      </c>
      <c r="E95" s="17">
        <v>0</v>
      </c>
      <c r="F95" s="17">
        <f>22/40</f>
        <v>0.55</v>
      </c>
      <c r="G95" s="3">
        <v>1</v>
      </c>
      <c r="H95" s="3"/>
      <c r="I95" s="4">
        <f t="shared" si="7"/>
        <v>0.1875</v>
      </c>
      <c r="J95" s="4">
        <f t="shared" si="4"/>
        <v>0.20706686930091184</v>
      </c>
      <c r="K95" s="1" t="s">
        <v>147</v>
      </c>
      <c r="L95" s="3"/>
      <c r="M95" s="3"/>
      <c r="N95" s="3"/>
      <c r="O95" s="15"/>
    </row>
    <row r="96" spans="1:15" ht="12.75">
      <c r="A96" t="s">
        <v>100</v>
      </c>
      <c r="B96" s="3">
        <f>1/5</f>
        <v>0.2</v>
      </c>
      <c r="C96" s="3">
        <f>0.5/4</f>
        <v>0.125</v>
      </c>
      <c r="D96" s="3">
        <f>1.75/5</f>
        <v>0.35</v>
      </c>
      <c r="E96" s="3">
        <f>2/4</f>
        <v>0.5</v>
      </c>
      <c r="F96" s="3">
        <f>31.5/40</f>
        <v>0.7875</v>
      </c>
      <c r="G96" s="3">
        <v>1</v>
      </c>
      <c r="H96" s="3"/>
      <c r="I96" s="4">
        <f t="shared" si="7"/>
        <v>0.450625</v>
      </c>
      <c r="J96" s="4">
        <f t="shared" si="4"/>
        <v>0.4976507092198581</v>
      </c>
      <c r="K96" s="1"/>
      <c r="L96" s="3"/>
      <c r="M96" s="3"/>
      <c r="N96" s="3"/>
      <c r="O96" s="15"/>
    </row>
    <row r="97" spans="1:15" ht="12.75">
      <c r="A97" t="s">
        <v>85</v>
      </c>
      <c r="B97" s="3">
        <f>0/5</f>
        <v>0</v>
      </c>
      <c r="C97" s="3">
        <f>0.25/4</f>
        <v>0.0625</v>
      </c>
      <c r="D97" s="3">
        <f>0.25/5</f>
        <v>0.05</v>
      </c>
      <c r="E97" s="3">
        <f>0/4</f>
        <v>0</v>
      </c>
      <c r="F97" s="17">
        <f>17/40</f>
        <v>0.425</v>
      </c>
      <c r="G97" s="3">
        <v>1</v>
      </c>
      <c r="H97" s="3"/>
      <c r="I97" s="4">
        <f t="shared" si="7"/>
        <v>0.17562499999999998</v>
      </c>
      <c r="J97" s="4">
        <f t="shared" si="4"/>
        <v>0.19395263424518738</v>
      </c>
      <c r="K97" s="13" t="s">
        <v>147</v>
      </c>
      <c r="L97" s="3"/>
      <c r="M97" s="3"/>
      <c r="N97" s="3"/>
      <c r="O97" s="15"/>
    </row>
    <row r="98" spans="1:15" ht="12.75">
      <c r="A98" t="s">
        <v>88</v>
      </c>
      <c r="B98" s="3">
        <f>0.75/5</f>
        <v>0.15</v>
      </c>
      <c r="C98" s="3">
        <f>2.25/4</f>
        <v>0.5625</v>
      </c>
      <c r="D98" s="3">
        <f>1.25/5</f>
        <v>0.25</v>
      </c>
      <c r="E98" s="3">
        <f>4/4</f>
        <v>1</v>
      </c>
      <c r="F98" s="3">
        <f>37.5/40</f>
        <v>0.9375</v>
      </c>
      <c r="G98" s="3">
        <v>1</v>
      </c>
      <c r="H98" s="3"/>
      <c r="I98" s="4">
        <f t="shared" si="7"/>
        <v>0.5987500000000001</v>
      </c>
      <c r="J98" s="4">
        <f t="shared" si="4"/>
        <v>0.6612335359675786</v>
      </c>
      <c r="K98" s="13"/>
      <c r="L98" s="3"/>
      <c r="M98" s="3"/>
      <c r="N98" s="3"/>
      <c r="O98" s="15"/>
    </row>
    <row r="99" spans="1:15" ht="12.75">
      <c r="A99" t="s">
        <v>86</v>
      </c>
      <c r="B99" s="3">
        <f>0.75/5</f>
        <v>0.15</v>
      </c>
      <c r="C99" s="3">
        <f>0/4</f>
        <v>0</v>
      </c>
      <c r="D99" s="3">
        <f>0.25/5</f>
        <v>0.05</v>
      </c>
      <c r="E99" s="3">
        <f>0/4</f>
        <v>0</v>
      </c>
      <c r="F99" s="3">
        <f>26/40</f>
        <v>0.65</v>
      </c>
      <c r="G99" s="3">
        <v>1</v>
      </c>
      <c r="H99" s="3"/>
      <c r="I99" s="4">
        <f t="shared" si="7"/>
        <v>0.2525</v>
      </c>
      <c r="J99" s="4">
        <f t="shared" si="4"/>
        <v>0.2788500506585613</v>
      </c>
      <c r="L99" s="3"/>
      <c r="M99" s="3"/>
      <c r="N99" s="3"/>
      <c r="O99" s="15"/>
    </row>
    <row r="100" spans="1:15" ht="12.75">
      <c r="A100" t="s">
        <v>99</v>
      </c>
      <c r="B100" s="3">
        <f>0.25/5</f>
        <v>0.05</v>
      </c>
      <c r="C100" s="3">
        <f>0.75/4</f>
        <v>0.1875</v>
      </c>
      <c r="D100" s="3">
        <f>2/5</f>
        <v>0.4</v>
      </c>
      <c r="E100" s="3">
        <f>1.25/4</f>
        <v>0.3125</v>
      </c>
      <c r="F100" s="3">
        <f>33/40</f>
        <v>0.825</v>
      </c>
      <c r="G100" s="3">
        <v>1</v>
      </c>
      <c r="H100" s="3"/>
      <c r="I100" s="4">
        <f t="shared" si="7"/>
        <v>0.42124999999999996</v>
      </c>
      <c r="J100" s="4">
        <f t="shared" si="4"/>
        <v>0.46521023302938186</v>
      </c>
      <c r="K100" s="1"/>
      <c r="L100" s="3"/>
      <c r="M100" s="3"/>
      <c r="N100" s="3"/>
      <c r="O100" s="15"/>
    </row>
    <row r="101" spans="1:15" ht="12.75">
      <c r="A101" t="s">
        <v>98</v>
      </c>
      <c r="B101" s="3">
        <f>2/5</f>
        <v>0.4</v>
      </c>
      <c r="C101" s="3">
        <f>0.5/4</f>
        <v>0.125</v>
      </c>
      <c r="D101" s="3">
        <f>1/5</f>
        <v>0.2</v>
      </c>
      <c r="E101" s="17">
        <v>0</v>
      </c>
      <c r="F101" s="17">
        <f>12/40</f>
        <v>0.3</v>
      </c>
      <c r="G101" s="3">
        <v>1</v>
      </c>
      <c r="H101" s="3"/>
      <c r="I101" s="4">
        <f t="shared" si="7"/>
        <v>0.26375</v>
      </c>
      <c r="J101" s="4">
        <f t="shared" si="4"/>
        <v>0.29127406281661594</v>
      </c>
      <c r="K101" s="1" t="s">
        <v>147</v>
      </c>
      <c r="L101" s="3"/>
      <c r="M101" s="3"/>
      <c r="N101" s="3"/>
      <c r="O101" s="15"/>
    </row>
    <row r="102" spans="1:15" ht="12.75">
      <c r="A102" t="s">
        <v>89</v>
      </c>
      <c r="B102" s="3">
        <f>3.25/5</f>
        <v>0.65</v>
      </c>
      <c r="C102" s="3">
        <f>3.5/4</f>
        <v>0.875</v>
      </c>
      <c r="D102" s="3">
        <f>3.5/5</f>
        <v>0.7</v>
      </c>
      <c r="E102" s="3">
        <f>4/4</f>
        <v>1</v>
      </c>
      <c r="F102" s="3">
        <f>40/40</f>
        <v>1</v>
      </c>
      <c r="G102" s="3">
        <v>1</v>
      </c>
      <c r="I102" s="4">
        <f t="shared" si="7"/>
        <v>0.8512500000000001</v>
      </c>
      <c r="J102" s="4">
        <f t="shared" si="4"/>
        <v>0.9400835866261398</v>
      </c>
      <c r="K102" s="1" t="s">
        <v>12</v>
      </c>
      <c r="L102" s="3"/>
      <c r="M102" s="3"/>
      <c r="N102" s="3"/>
      <c r="O102" s="15"/>
    </row>
    <row r="103" spans="1:15" ht="12.75">
      <c r="A103" t="s">
        <v>90</v>
      </c>
      <c r="B103" s="3">
        <f>1.5/5</f>
        <v>0.3</v>
      </c>
      <c r="C103" s="3">
        <f>2/4</f>
        <v>0.5</v>
      </c>
      <c r="D103" s="3">
        <f>0/5</f>
        <v>0</v>
      </c>
      <c r="E103" s="3">
        <f>1.5/4</f>
        <v>0.375</v>
      </c>
      <c r="F103" s="3">
        <f>38/40</f>
        <v>0.95</v>
      </c>
      <c r="G103" s="3">
        <v>1</v>
      </c>
      <c r="H103" s="3"/>
      <c r="I103" s="4">
        <f t="shared" si="7"/>
        <v>0.47874999999999995</v>
      </c>
      <c r="J103" s="4">
        <f t="shared" si="4"/>
        <v>0.5287107396149948</v>
      </c>
      <c r="K103" s="1"/>
      <c r="L103" s="3"/>
      <c r="M103" s="3"/>
      <c r="N103" s="3"/>
      <c r="O103" s="15"/>
    </row>
    <row r="104" spans="1:15" ht="12.75">
      <c r="A104" t="s">
        <v>103</v>
      </c>
      <c r="B104" s="3">
        <f>0.5/5</f>
        <v>0.1</v>
      </c>
      <c r="C104" s="17">
        <v>0</v>
      </c>
      <c r="D104" s="3">
        <f>0/5</f>
        <v>0</v>
      </c>
      <c r="E104" s="17">
        <v>0</v>
      </c>
      <c r="F104" s="17">
        <f>11/40</f>
        <v>0.275</v>
      </c>
      <c r="G104" s="3">
        <v>1</v>
      </c>
      <c r="H104" s="3"/>
      <c r="I104" s="4">
        <f t="shared" si="7"/>
        <v>0.13875</v>
      </c>
      <c r="J104" s="4">
        <f t="shared" si="4"/>
        <v>0.15322948328267477</v>
      </c>
      <c r="K104" s="1" t="s">
        <v>147</v>
      </c>
      <c r="L104" s="3"/>
      <c r="M104" s="3"/>
      <c r="N104" s="3"/>
      <c r="O104" s="15"/>
    </row>
    <row r="105" spans="2:15" ht="12.75">
      <c r="B105" s="3"/>
      <c r="C105" s="3"/>
      <c r="D105" s="3"/>
      <c r="E105" s="3"/>
      <c r="F105" s="7"/>
      <c r="G105" s="7"/>
      <c r="H105" s="3"/>
      <c r="I105" s="4"/>
      <c r="J105" s="4"/>
      <c r="K105" s="1"/>
      <c r="L105" s="3"/>
      <c r="M105" s="3"/>
      <c r="N105" s="3"/>
      <c r="O105" s="15"/>
    </row>
    <row r="106" spans="1:15" ht="12.75">
      <c r="A106" s="1" t="s">
        <v>104</v>
      </c>
      <c r="B106" s="11">
        <v>5</v>
      </c>
      <c r="C106" s="11">
        <v>4</v>
      </c>
      <c r="D106" s="11">
        <v>5</v>
      </c>
      <c r="E106" s="11">
        <v>4</v>
      </c>
      <c r="F106" s="11"/>
      <c r="G106" s="11"/>
      <c r="H106" s="11"/>
      <c r="I106" s="12"/>
      <c r="J106" s="4"/>
      <c r="K106" s="1"/>
      <c r="L106" s="3"/>
      <c r="M106" s="3"/>
      <c r="N106" s="3"/>
      <c r="O106" s="15"/>
    </row>
    <row r="107" spans="1:15" ht="12.75">
      <c r="A107" s="2" t="s">
        <v>122</v>
      </c>
      <c r="B107" s="18">
        <v>0</v>
      </c>
      <c r="C107" s="3">
        <f>2.75/4</f>
        <v>0.6875</v>
      </c>
      <c r="D107" s="3">
        <f>0.25/5</f>
        <v>0.05</v>
      </c>
      <c r="E107" s="3">
        <f>1.75/4</f>
        <v>0.4375</v>
      </c>
      <c r="F107" s="3">
        <f>28/40</f>
        <v>0.7</v>
      </c>
      <c r="G107" s="3">
        <v>1</v>
      </c>
      <c r="H107" s="3"/>
      <c r="I107" s="4">
        <f aca="true" t="shared" si="8" ref="I107:I128">(B107+D107)*0.5*$B$3+(C107+E107)*0.5*$C$3+F107*$D$3+G107*$E$3+H107</f>
        <v>0.40375</v>
      </c>
      <c r="J107" s="4">
        <f t="shared" si="4"/>
        <v>0.4458839918946301</v>
      </c>
      <c r="L107" s="3"/>
      <c r="M107" s="3"/>
      <c r="N107" s="3"/>
      <c r="O107" s="15"/>
    </row>
    <row r="108" spans="1:15" ht="12.75">
      <c r="A108" s="2" t="s">
        <v>112</v>
      </c>
      <c r="B108" s="3">
        <f>0.25/5</f>
        <v>0.05</v>
      </c>
      <c r="C108" s="3">
        <f>1.5/4</f>
        <v>0.375</v>
      </c>
      <c r="D108" s="3">
        <f>0.5/5</f>
        <v>0.1</v>
      </c>
      <c r="E108" s="3">
        <f>2.5/4</f>
        <v>0.625</v>
      </c>
      <c r="F108" s="3">
        <f>24/40</f>
        <v>0.6</v>
      </c>
      <c r="G108" s="3">
        <v>1</v>
      </c>
      <c r="H108" s="3"/>
      <c r="I108" s="4">
        <f t="shared" si="8"/>
        <v>0.37999999999999995</v>
      </c>
      <c r="J108" s="4">
        <f t="shared" si="4"/>
        <v>0.4196555217831813</v>
      </c>
      <c r="L108" s="3"/>
      <c r="M108" s="3"/>
      <c r="N108" s="3"/>
      <c r="O108" s="15"/>
    </row>
    <row r="109" spans="1:15" ht="12.75">
      <c r="A109" s="2" t="s">
        <v>116</v>
      </c>
      <c r="B109" s="3">
        <f>1.5/5</f>
        <v>0.3</v>
      </c>
      <c r="C109" s="3">
        <f>3.25/4</f>
        <v>0.8125</v>
      </c>
      <c r="D109" s="3">
        <f>1/5</f>
        <v>0.2</v>
      </c>
      <c r="E109" s="3">
        <f>3.5/4</f>
        <v>0.875</v>
      </c>
      <c r="F109" s="3">
        <f>38/40</f>
        <v>0.95</v>
      </c>
      <c r="G109" s="3">
        <v>1</v>
      </c>
      <c r="H109" s="3"/>
      <c r="I109" s="4">
        <f t="shared" si="8"/>
        <v>0.640625</v>
      </c>
      <c r="J109" s="4">
        <f t="shared" si="4"/>
        <v>0.7074784701114488</v>
      </c>
      <c r="K109" s="13" t="s">
        <v>11</v>
      </c>
      <c r="L109" s="3"/>
      <c r="M109" s="3"/>
      <c r="N109" s="3"/>
      <c r="O109" s="15"/>
    </row>
    <row r="110" spans="1:15" ht="12.75">
      <c r="A110" s="2" t="s">
        <v>113</v>
      </c>
      <c r="B110" s="3">
        <f>2.5/5</f>
        <v>0.5</v>
      </c>
      <c r="C110" s="3">
        <f>2.5/4</f>
        <v>0.625</v>
      </c>
      <c r="D110" s="3">
        <f>3.5/5</f>
        <v>0.7</v>
      </c>
      <c r="E110" s="3">
        <f>2/4</f>
        <v>0.5</v>
      </c>
      <c r="F110" s="3">
        <f>38.5/40</f>
        <v>0.9625</v>
      </c>
      <c r="G110" s="3">
        <v>1</v>
      </c>
      <c r="H110" s="3"/>
      <c r="I110" s="4">
        <f t="shared" si="8"/>
        <v>0.699375</v>
      </c>
      <c r="J110" s="4">
        <f t="shared" si="4"/>
        <v>0.7723594224924011</v>
      </c>
      <c r="K110" s="13" t="s">
        <v>11</v>
      </c>
      <c r="L110" s="3"/>
      <c r="M110" s="3"/>
      <c r="N110" s="3"/>
      <c r="O110" s="15"/>
    </row>
    <row r="111" spans="1:15" ht="12.75">
      <c r="A111" s="2" t="s">
        <v>119</v>
      </c>
      <c r="B111" s="3">
        <f>2/5</f>
        <v>0.4</v>
      </c>
      <c r="C111" s="3">
        <f>2/4</f>
        <v>0.5</v>
      </c>
      <c r="D111" s="3">
        <f>1.5/5</f>
        <v>0.3</v>
      </c>
      <c r="E111" s="3">
        <f>2.75/4</f>
        <v>0.6875</v>
      </c>
      <c r="F111" s="3">
        <f>28/40</f>
        <v>0.7</v>
      </c>
      <c r="G111" s="3">
        <v>1</v>
      </c>
      <c r="H111" s="3"/>
      <c r="I111" s="4">
        <f t="shared" si="8"/>
        <v>0.543125</v>
      </c>
      <c r="J111" s="4">
        <f t="shared" si="4"/>
        <v>0.5998036980749746</v>
      </c>
      <c r="L111" s="3"/>
      <c r="M111" s="3"/>
      <c r="N111" s="3"/>
      <c r="O111" s="15"/>
    </row>
    <row r="112" spans="1:15" ht="12.75">
      <c r="A112" s="2" t="s">
        <v>124</v>
      </c>
      <c r="B112" s="3">
        <f>0.5/5</f>
        <v>0.1</v>
      </c>
      <c r="C112" s="3">
        <f>1.75/4</f>
        <v>0.4375</v>
      </c>
      <c r="D112" s="3">
        <f>3/5</f>
        <v>0.6</v>
      </c>
      <c r="E112" s="3">
        <f>1.75/4</f>
        <v>0.4375</v>
      </c>
      <c r="F112" s="3">
        <f>31/40</f>
        <v>0.775</v>
      </c>
      <c r="G112" s="3">
        <v>1</v>
      </c>
      <c r="H112" s="3"/>
      <c r="I112" s="4">
        <f t="shared" si="8"/>
        <v>0.515</v>
      </c>
      <c r="J112" s="4">
        <f t="shared" si="4"/>
        <v>0.5687436676798379</v>
      </c>
      <c r="K112" s="1"/>
      <c r="L112" s="3"/>
      <c r="M112" s="3"/>
      <c r="N112" s="3"/>
      <c r="O112" s="15"/>
    </row>
    <row r="113" spans="1:15" ht="12.75">
      <c r="A113" s="2" t="s">
        <v>121</v>
      </c>
      <c r="B113" s="3">
        <f>3.5/5</f>
        <v>0.7</v>
      </c>
      <c r="C113" s="3">
        <f>4/4</f>
        <v>1</v>
      </c>
      <c r="D113" s="10">
        <f>1.5/5</f>
        <v>0.3</v>
      </c>
      <c r="E113" s="10">
        <f>4/4</f>
        <v>1</v>
      </c>
      <c r="F113" s="3">
        <f>40/40</f>
        <v>1</v>
      </c>
      <c r="G113" s="3">
        <v>1</v>
      </c>
      <c r="H113" s="3"/>
      <c r="I113" s="4">
        <f t="shared" si="8"/>
        <v>0.8</v>
      </c>
      <c r="J113" s="4">
        <f t="shared" si="4"/>
        <v>0.8834853090172239</v>
      </c>
      <c r="K113" s="13" t="s">
        <v>12</v>
      </c>
      <c r="L113" s="3"/>
      <c r="M113" s="3"/>
      <c r="N113" s="3"/>
      <c r="O113" s="15"/>
    </row>
    <row r="114" spans="1:15" ht="12.75">
      <c r="A114" s="2" t="s">
        <v>115</v>
      </c>
      <c r="B114" s="3">
        <f>2/5</f>
        <v>0.4</v>
      </c>
      <c r="C114" s="3">
        <f>0.25/4</f>
        <v>0.0625</v>
      </c>
      <c r="D114" s="3">
        <f>0.5/5</f>
        <v>0.1</v>
      </c>
      <c r="E114" s="3">
        <f>0.75/4</f>
        <v>0.1875</v>
      </c>
      <c r="F114" s="3">
        <f>32/40</f>
        <v>0.8</v>
      </c>
      <c r="G114" s="3">
        <v>1</v>
      </c>
      <c r="H114" s="3"/>
      <c r="I114" s="4">
        <f t="shared" si="8"/>
        <v>0.3875</v>
      </c>
      <c r="J114" s="4">
        <f t="shared" si="4"/>
        <v>0.4279381965552178</v>
      </c>
      <c r="L114" s="3"/>
      <c r="M114" s="3"/>
      <c r="N114" s="3"/>
      <c r="O114" s="15"/>
    </row>
    <row r="115" spans="1:15" ht="12.75">
      <c r="A115" t="s">
        <v>109</v>
      </c>
      <c r="B115" s="3">
        <f>2.75/5</f>
        <v>0.55</v>
      </c>
      <c r="C115" s="3">
        <f>2.75/4</f>
        <v>0.6875</v>
      </c>
      <c r="D115" s="3">
        <f>2/5</f>
        <v>0.4</v>
      </c>
      <c r="E115" s="3">
        <f>2.25/4</f>
        <v>0.5625</v>
      </c>
      <c r="F115" s="3">
        <f>32/40</f>
        <v>0.8</v>
      </c>
      <c r="G115" s="3">
        <v>1</v>
      </c>
      <c r="H115" s="3"/>
      <c r="I115" s="4">
        <f t="shared" si="8"/>
        <v>0.6275000000000002</v>
      </c>
      <c r="J115" s="4">
        <f t="shared" si="4"/>
        <v>0.6929837892603852</v>
      </c>
      <c r="L115" s="3"/>
      <c r="M115" s="3"/>
      <c r="N115" s="3"/>
      <c r="O115" s="15"/>
    </row>
    <row r="116" spans="1:15" ht="12.75">
      <c r="A116" t="s">
        <v>110</v>
      </c>
      <c r="B116" s="3">
        <f>0.25/5</f>
        <v>0.05</v>
      </c>
      <c r="C116" s="3">
        <f>0.25/4</f>
        <v>0.0625</v>
      </c>
      <c r="D116" s="3">
        <f>0/5</f>
        <v>0</v>
      </c>
      <c r="E116" s="3">
        <f>1/4</f>
        <v>0.25</v>
      </c>
      <c r="F116" s="3">
        <f>25/40</f>
        <v>0.625</v>
      </c>
      <c r="G116" s="3">
        <v>1</v>
      </c>
      <c r="H116" s="3"/>
      <c r="I116" s="4">
        <f t="shared" si="8"/>
        <v>0.263125</v>
      </c>
      <c r="J116" s="4">
        <f t="shared" si="4"/>
        <v>0.29058383991894626</v>
      </c>
      <c r="L116" s="3"/>
      <c r="M116" s="3"/>
      <c r="N116" s="3"/>
      <c r="O116" s="15"/>
    </row>
    <row r="117" spans="1:15" ht="12.75">
      <c r="A117" s="2" t="s">
        <v>126</v>
      </c>
      <c r="B117" s="3">
        <f>1.75/5</f>
        <v>0.35</v>
      </c>
      <c r="C117" s="3">
        <f>3.5/4</f>
        <v>0.875</v>
      </c>
      <c r="D117" s="3">
        <f>1.25/5</f>
        <v>0.25</v>
      </c>
      <c r="E117" s="3">
        <f>3.5/4</f>
        <v>0.875</v>
      </c>
      <c r="F117" s="3">
        <f>31/40</f>
        <v>0.775</v>
      </c>
      <c r="G117" s="3">
        <v>1</v>
      </c>
      <c r="H117" s="3"/>
      <c r="I117" s="4">
        <f t="shared" si="8"/>
        <v>0.6262500000000001</v>
      </c>
      <c r="J117" s="4">
        <f t="shared" si="4"/>
        <v>0.6916033434650456</v>
      </c>
      <c r="L117" s="3"/>
      <c r="M117" s="3"/>
      <c r="N117" s="3"/>
      <c r="O117" s="15"/>
    </row>
    <row r="118" spans="1:15" ht="12.75">
      <c r="A118" t="s">
        <v>111</v>
      </c>
      <c r="B118" s="3">
        <f>4.75/5</f>
        <v>0.95</v>
      </c>
      <c r="C118" s="3">
        <f>4/4</f>
        <v>1</v>
      </c>
      <c r="D118" s="3">
        <f>4.5/5</f>
        <v>0.9</v>
      </c>
      <c r="E118" s="3">
        <f>4/4</f>
        <v>1</v>
      </c>
      <c r="F118" s="3">
        <f>37/40</f>
        <v>0.925</v>
      </c>
      <c r="G118" s="3">
        <v>1</v>
      </c>
      <c r="H118" s="3"/>
      <c r="I118" s="4">
        <f t="shared" si="8"/>
        <v>0.9512500000000002</v>
      </c>
      <c r="J118" s="4">
        <f t="shared" si="4"/>
        <v>1.050519250253293</v>
      </c>
      <c r="K118" s="1" t="s">
        <v>12</v>
      </c>
      <c r="L118" s="3"/>
      <c r="M118" s="3"/>
      <c r="N118" s="3"/>
      <c r="O118" s="15"/>
    </row>
    <row r="119" spans="1:15" ht="12.75">
      <c r="A119" s="2" t="s">
        <v>118</v>
      </c>
      <c r="B119" s="3">
        <f>0.25/5</f>
        <v>0.05</v>
      </c>
      <c r="C119" s="3">
        <f>0.5/4</f>
        <v>0.125</v>
      </c>
      <c r="D119" s="3">
        <f>0/5</f>
        <v>0</v>
      </c>
      <c r="E119" s="3">
        <f>1.25/4</f>
        <v>0.3125</v>
      </c>
      <c r="F119" s="3">
        <f>25/40</f>
        <v>0.625</v>
      </c>
      <c r="G119" s="3">
        <v>1</v>
      </c>
      <c r="H119" s="3"/>
      <c r="I119" s="4">
        <f t="shared" si="8"/>
        <v>0.281875</v>
      </c>
      <c r="J119" s="4">
        <f t="shared" si="4"/>
        <v>0.31129052684903746</v>
      </c>
      <c r="L119" s="3"/>
      <c r="M119" s="3"/>
      <c r="N119" s="3"/>
      <c r="O119" s="15"/>
    </row>
    <row r="120" spans="1:15" ht="12.75">
      <c r="A120" s="2" t="s">
        <v>125</v>
      </c>
      <c r="B120" s="3">
        <f>0.25/5</f>
        <v>0.05</v>
      </c>
      <c r="C120" s="3">
        <f>0.5/4</f>
        <v>0.125</v>
      </c>
      <c r="D120" s="3">
        <f>0.25/5</f>
        <v>0.05</v>
      </c>
      <c r="E120" s="3">
        <f>3.25/4</f>
        <v>0.8125</v>
      </c>
      <c r="F120" s="3">
        <f>31/40</f>
        <v>0.775</v>
      </c>
      <c r="G120" s="3">
        <v>1</v>
      </c>
      <c r="H120" s="3"/>
      <c r="I120" s="4">
        <f t="shared" si="8"/>
        <v>0.404375</v>
      </c>
      <c r="J120" s="4">
        <f t="shared" si="4"/>
        <v>0.44657421479229986</v>
      </c>
      <c r="L120" s="3"/>
      <c r="M120" s="3"/>
      <c r="N120" s="3"/>
      <c r="O120" s="15"/>
    </row>
    <row r="121" spans="1:15" ht="12.75">
      <c r="A121" t="s">
        <v>105</v>
      </c>
      <c r="B121" s="3">
        <f>1.25/5</f>
        <v>0.25</v>
      </c>
      <c r="C121" s="17">
        <v>0</v>
      </c>
      <c r="D121" s="3">
        <f>1/5</f>
        <v>0.2</v>
      </c>
      <c r="E121" s="3">
        <f>0.25/4</f>
        <v>0.0625</v>
      </c>
      <c r="F121" s="3">
        <f>31/40</f>
        <v>0.775</v>
      </c>
      <c r="G121" s="3">
        <v>1</v>
      </c>
      <c r="H121" s="3"/>
      <c r="I121" s="4">
        <f t="shared" si="8"/>
        <v>0.343125</v>
      </c>
      <c r="J121" s="4">
        <f t="shared" si="4"/>
        <v>0.37893237082066866</v>
      </c>
      <c r="K121" s="1"/>
      <c r="L121" s="3"/>
      <c r="M121" s="3"/>
      <c r="N121" s="3"/>
      <c r="O121" s="15"/>
    </row>
    <row r="122" spans="1:15" ht="12.75">
      <c r="A122" t="s">
        <v>108</v>
      </c>
      <c r="B122" s="3">
        <f>0/5</f>
        <v>0</v>
      </c>
      <c r="C122" s="3">
        <f>2.25/4</f>
        <v>0.5625</v>
      </c>
      <c r="D122" s="3">
        <f>1/5</f>
        <v>0.2</v>
      </c>
      <c r="E122" s="3">
        <f>2/4</f>
        <v>0.5</v>
      </c>
      <c r="F122" s="3">
        <f>25/40</f>
        <v>0.625</v>
      </c>
      <c r="G122" s="3">
        <v>1</v>
      </c>
      <c r="H122" s="3"/>
      <c r="I122" s="4">
        <f t="shared" si="8"/>
        <v>0.40562499999999996</v>
      </c>
      <c r="J122" s="4">
        <f t="shared" si="4"/>
        <v>0.4479546605876392</v>
      </c>
      <c r="K122" s="1"/>
      <c r="L122" s="3"/>
      <c r="M122" s="3"/>
      <c r="N122" s="3"/>
      <c r="O122" s="15"/>
    </row>
    <row r="123" spans="1:15" ht="12.75">
      <c r="A123" t="s">
        <v>106</v>
      </c>
      <c r="B123" s="3">
        <f>0.75/5</f>
        <v>0.15</v>
      </c>
      <c r="C123" s="3">
        <f>1.75/4</f>
        <v>0.4375</v>
      </c>
      <c r="D123" s="3">
        <f>0.25/5</f>
        <v>0.05</v>
      </c>
      <c r="E123" s="3">
        <f>2/4</f>
        <v>0.5</v>
      </c>
      <c r="F123" s="3">
        <f>28/40</f>
        <v>0.7</v>
      </c>
      <c r="G123" s="3">
        <v>1</v>
      </c>
      <c r="H123" s="3"/>
      <c r="I123" s="4">
        <f t="shared" si="8"/>
        <v>0.40562499999999996</v>
      </c>
      <c r="J123" s="4">
        <f t="shared" si="4"/>
        <v>0.4479546605876392</v>
      </c>
      <c r="K123" s="1"/>
      <c r="L123" s="3"/>
      <c r="M123" s="3"/>
      <c r="N123" s="3"/>
      <c r="O123" s="15"/>
    </row>
    <row r="124" spans="1:15" ht="12.75">
      <c r="A124" s="2" t="s">
        <v>114</v>
      </c>
      <c r="B124" s="3">
        <f>0.75/5</f>
        <v>0.15</v>
      </c>
      <c r="C124" s="3">
        <f>0.5/4</f>
        <v>0.125</v>
      </c>
      <c r="D124" s="3">
        <f>1.25/5</f>
        <v>0.25</v>
      </c>
      <c r="E124" s="3">
        <f>1.25/4</f>
        <v>0.3125</v>
      </c>
      <c r="F124" s="3">
        <f>24/40</f>
        <v>0.6</v>
      </c>
      <c r="G124" s="3">
        <v>1</v>
      </c>
      <c r="I124" s="4">
        <f t="shared" si="8"/>
        <v>0.345625</v>
      </c>
      <c r="J124" s="4">
        <f t="shared" si="4"/>
        <v>0.3816932624113475</v>
      </c>
      <c r="K124" s="5"/>
      <c r="L124" s="3"/>
      <c r="M124" s="3"/>
      <c r="N124" s="3"/>
      <c r="O124" s="15"/>
    </row>
    <row r="125" spans="1:15" ht="12.75">
      <c r="A125" s="2" t="s">
        <v>120</v>
      </c>
      <c r="B125" s="3">
        <f>3.5/5</f>
        <v>0.7</v>
      </c>
      <c r="C125" s="3">
        <f>3.5/4</f>
        <v>0.875</v>
      </c>
      <c r="D125" s="3">
        <f>5/5</f>
        <v>1</v>
      </c>
      <c r="E125" s="3">
        <f>3/4</f>
        <v>0.75</v>
      </c>
      <c r="F125" s="3">
        <f>40/40</f>
        <v>1</v>
      </c>
      <c r="G125" s="3">
        <v>1</v>
      </c>
      <c r="H125" s="3"/>
      <c r="I125" s="4">
        <f t="shared" si="8"/>
        <v>0.88375</v>
      </c>
      <c r="J125" s="4">
        <f t="shared" si="4"/>
        <v>0.9759751773049645</v>
      </c>
      <c r="K125" s="13" t="s">
        <v>12</v>
      </c>
      <c r="L125" s="3"/>
      <c r="M125" s="3"/>
      <c r="N125" s="3"/>
      <c r="O125" s="15"/>
    </row>
    <row r="126" spans="1:15" ht="12.75">
      <c r="A126" t="s">
        <v>107</v>
      </c>
      <c r="B126" s="3">
        <f>0.25/5</f>
        <v>0.05</v>
      </c>
      <c r="C126" s="3">
        <f>0.25/4</f>
        <v>0.0625</v>
      </c>
      <c r="D126" s="3">
        <f>0/5</f>
        <v>0</v>
      </c>
      <c r="E126" s="3">
        <f>2.75/4</f>
        <v>0.6875</v>
      </c>
      <c r="F126" s="3">
        <f>25/40</f>
        <v>0.625</v>
      </c>
      <c r="G126" s="3">
        <v>1</v>
      </c>
      <c r="H126" s="3"/>
      <c r="I126" s="4">
        <f t="shared" si="8"/>
        <v>0.32875</v>
      </c>
      <c r="J126" s="4">
        <f t="shared" si="4"/>
        <v>0.3630572441742654</v>
      </c>
      <c r="K126" s="1"/>
      <c r="L126" s="3"/>
      <c r="M126" s="3"/>
      <c r="N126" s="3"/>
      <c r="O126" s="15"/>
    </row>
    <row r="127" spans="1:15" ht="12.75">
      <c r="A127" s="2" t="s">
        <v>117</v>
      </c>
      <c r="B127" s="3">
        <f>0.75/5</f>
        <v>0.15</v>
      </c>
      <c r="C127" s="3">
        <f>1.75/4</f>
        <v>0.4375</v>
      </c>
      <c r="D127" s="3">
        <f>0.75/5</f>
        <v>0.15</v>
      </c>
      <c r="E127" s="3">
        <f>2.5/4</f>
        <v>0.625</v>
      </c>
      <c r="F127" s="3">
        <f>40/40</f>
        <v>1</v>
      </c>
      <c r="G127" s="3">
        <v>1</v>
      </c>
      <c r="H127" s="3"/>
      <c r="I127" s="4">
        <f t="shared" si="8"/>
        <v>0.519375</v>
      </c>
      <c r="J127" s="4">
        <f t="shared" si="4"/>
        <v>0.5735752279635258</v>
      </c>
      <c r="K127" s="1"/>
      <c r="L127" s="3"/>
      <c r="M127" s="3"/>
      <c r="N127" s="3"/>
      <c r="O127" s="15"/>
    </row>
    <row r="128" spans="1:15" ht="12.75">
      <c r="A128" s="2" t="s">
        <v>123</v>
      </c>
      <c r="B128" s="3">
        <f>3.25/5</f>
        <v>0.65</v>
      </c>
      <c r="C128" s="3">
        <f>3.25/4</f>
        <v>0.8125</v>
      </c>
      <c r="D128" s="3">
        <f>3.25/5</f>
        <v>0.65</v>
      </c>
      <c r="E128" s="3">
        <f>3.75/4</f>
        <v>0.9375</v>
      </c>
      <c r="F128" s="3">
        <f>37/40</f>
        <v>0.925</v>
      </c>
      <c r="G128" s="3">
        <v>1</v>
      </c>
      <c r="H128" s="3"/>
      <c r="I128" s="4">
        <f t="shared" si="8"/>
        <v>0.80375</v>
      </c>
      <c r="J128" s="4">
        <f t="shared" si="4"/>
        <v>0.8876266464032421</v>
      </c>
      <c r="K128" s="1" t="s">
        <v>12</v>
      </c>
      <c r="L128" s="3"/>
      <c r="M128" s="3"/>
      <c r="N128" s="3"/>
      <c r="O128" s="15"/>
    </row>
    <row r="129" spans="1:15" ht="12.75">
      <c r="A129" s="2" t="s">
        <v>139</v>
      </c>
      <c r="B129" s="3"/>
      <c r="C129" s="3"/>
      <c r="D129" s="3"/>
      <c r="E129" s="3"/>
      <c r="F129" s="3"/>
      <c r="G129" s="3"/>
      <c r="H129" s="3"/>
      <c r="I129" s="4" t="s">
        <v>148</v>
      </c>
      <c r="J129" s="4"/>
      <c r="K129" s="1" t="s">
        <v>143</v>
      </c>
      <c r="L129" s="3"/>
      <c r="M129" s="3"/>
      <c r="N129" s="3"/>
      <c r="O129" s="15"/>
    </row>
    <row r="130" spans="1:15" ht="12.75">
      <c r="A130" s="2" t="s">
        <v>138</v>
      </c>
      <c r="B130" s="3"/>
      <c r="C130" s="3"/>
      <c r="D130" s="3"/>
      <c r="E130" s="3"/>
      <c r="F130" s="3"/>
      <c r="G130" s="3"/>
      <c r="H130" s="3"/>
      <c r="I130" s="4"/>
      <c r="J130" s="4"/>
      <c r="K130" s="1" t="s">
        <v>140</v>
      </c>
      <c r="L130" s="3"/>
      <c r="M130" s="3"/>
      <c r="N130" s="3"/>
      <c r="O130" s="15"/>
    </row>
    <row r="131" spans="2:10" ht="12.75">
      <c r="B131" s="3"/>
      <c r="C131" s="3"/>
      <c r="D131" s="3"/>
      <c r="E131" s="3"/>
      <c r="F131" s="3"/>
      <c r="G131" s="3"/>
      <c r="H131" s="3"/>
      <c r="I131" s="4"/>
      <c r="J131" s="4"/>
    </row>
    <row r="132" spans="1:11" ht="12.75">
      <c r="A132" t="s">
        <v>7</v>
      </c>
      <c r="B132" t="s">
        <v>8</v>
      </c>
      <c r="C132" s="2" t="s">
        <v>13</v>
      </c>
      <c r="D132" s="3"/>
      <c r="E132" s="3"/>
      <c r="F132" s="3"/>
      <c r="G132" s="3"/>
      <c r="H132" s="3"/>
      <c r="I132" s="4"/>
      <c r="J132" s="4"/>
      <c r="K132" s="1"/>
    </row>
    <row r="133" spans="1:11" ht="12.75">
      <c r="A133" t="s">
        <v>12</v>
      </c>
      <c r="B133" t="s">
        <v>9</v>
      </c>
      <c r="C133" t="s">
        <v>129</v>
      </c>
      <c r="D133" s="3"/>
      <c r="E133" s="3"/>
      <c r="F133" s="3"/>
      <c r="G133" s="3"/>
      <c r="H133" s="3"/>
      <c r="I133" s="4"/>
      <c r="J133" s="4"/>
      <c r="K133" s="1"/>
    </row>
    <row r="134" spans="1:11" ht="15.75">
      <c r="A134" t="s">
        <v>11</v>
      </c>
      <c r="B134" t="s">
        <v>10</v>
      </c>
      <c r="C134" s="3" t="s">
        <v>150</v>
      </c>
      <c r="D134" s="3"/>
      <c r="E134" s="3"/>
      <c r="F134" s="3"/>
      <c r="G134" s="3"/>
      <c r="H134" s="3"/>
      <c r="I134" s="4"/>
      <c r="J134" s="4"/>
      <c r="K134" s="1"/>
    </row>
    <row r="135" spans="1:10" ht="18">
      <c r="A135" s="14"/>
      <c r="F135" s="1"/>
      <c r="I135" s="4"/>
      <c r="J135" s="4"/>
    </row>
    <row r="136" spans="1:10" ht="18">
      <c r="A136" s="6"/>
      <c r="F136" s="1"/>
      <c r="I136" s="4"/>
      <c r="J136" s="4"/>
    </row>
    <row r="137" spans="4:10" ht="18">
      <c r="D137" s="6"/>
      <c r="E137" s="6"/>
      <c r="I137" s="4"/>
      <c r="J137" s="4"/>
    </row>
    <row r="138" spans="9:10" ht="12.75">
      <c r="I138" s="4"/>
      <c r="J138" s="4"/>
    </row>
    <row r="139" spans="9:10" ht="12.75">
      <c r="I139" s="4"/>
      <c r="J139" s="4"/>
    </row>
    <row r="140" spans="9:10" ht="12.75">
      <c r="I140" s="4"/>
      <c r="J140" s="4"/>
    </row>
    <row r="141" spans="9:10" ht="12.75">
      <c r="I141" s="4"/>
      <c r="J141" s="4"/>
    </row>
    <row r="142" spans="9:10" ht="12.75">
      <c r="I142" s="4"/>
      <c r="J142" s="4"/>
    </row>
    <row r="143" spans="9:10" ht="12.75">
      <c r="I143" s="4"/>
      <c r="J143" s="4"/>
    </row>
    <row r="144" spans="9:10" ht="12.75">
      <c r="I144" s="4"/>
      <c r="J144" s="4"/>
    </row>
    <row r="145" spans="9:10" ht="12.75">
      <c r="I145" s="4"/>
      <c r="J145" s="4"/>
    </row>
    <row r="146" spans="9:10" ht="12.75">
      <c r="I146" s="4"/>
      <c r="J146" s="4"/>
    </row>
    <row r="147" spans="9:10" ht="12.75">
      <c r="I147" s="4"/>
      <c r="J147" s="4"/>
    </row>
    <row r="148" spans="9:10" ht="12.75">
      <c r="I148" s="4"/>
      <c r="J148" s="4"/>
    </row>
    <row r="149" spans="9:10" ht="12.75">
      <c r="I149" s="4"/>
      <c r="J149" s="4"/>
    </row>
    <row r="150" spans="9:10" ht="12.75">
      <c r="I150" s="4"/>
      <c r="J150" s="4"/>
    </row>
    <row r="151" spans="9:10" ht="12.75">
      <c r="I151" s="4"/>
      <c r="J151" s="4"/>
    </row>
    <row r="152" spans="9:10" ht="12.75">
      <c r="I152" s="4"/>
      <c r="J152" s="4"/>
    </row>
    <row r="153" spans="9:10" ht="12.75">
      <c r="I153" s="4"/>
      <c r="J153" s="4"/>
    </row>
    <row r="154" spans="9:10" ht="12.75">
      <c r="I154" s="4"/>
      <c r="J154" s="4"/>
    </row>
    <row r="155" spans="9:10" ht="12.75">
      <c r="I155" s="4"/>
      <c r="J155" s="4"/>
    </row>
    <row r="156" spans="9:10" ht="12.75">
      <c r="I156" s="4"/>
      <c r="J156" s="4"/>
    </row>
    <row r="157" spans="9:10" ht="12.75">
      <c r="I157" s="4"/>
      <c r="J157" s="4"/>
    </row>
    <row r="158" spans="9:10" ht="12.75">
      <c r="I158" s="4"/>
      <c r="J158" s="4"/>
    </row>
    <row r="159" spans="9:10" ht="12.75">
      <c r="I159" s="4"/>
      <c r="J159" s="4"/>
    </row>
    <row r="160" spans="9:10" ht="12.75">
      <c r="I160" s="4"/>
      <c r="J160" s="4"/>
    </row>
    <row r="161" spans="9:10" ht="12.75">
      <c r="I161" s="4"/>
      <c r="J161" s="4"/>
    </row>
    <row r="162" spans="9:10" ht="12.75">
      <c r="I162" s="4"/>
      <c r="J162" s="4"/>
    </row>
    <row r="163" spans="9:10" ht="12.75">
      <c r="I163" s="4"/>
      <c r="J163" s="4"/>
    </row>
    <row r="164" spans="9:10" ht="12.75">
      <c r="I164" s="4"/>
      <c r="J164" s="4"/>
    </row>
    <row r="165" spans="9:10" ht="12.75">
      <c r="I165" s="4"/>
      <c r="J165" s="4"/>
    </row>
    <row r="166" spans="9:10" ht="12.75">
      <c r="I166" s="4"/>
      <c r="J166" s="4"/>
    </row>
    <row r="167" spans="9:10" ht="12.75">
      <c r="I167" s="4"/>
      <c r="J167" s="4"/>
    </row>
    <row r="168" spans="9:10" ht="12.75">
      <c r="I168" s="4"/>
      <c r="J168" s="4"/>
    </row>
    <row r="169" spans="9:10" ht="12.75">
      <c r="I169" s="4"/>
      <c r="J169" s="4"/>
    </row>
    <row r="170" spans="9:10" ht="12.75">
      <c r="I170" s="4"/>
      <c r="J170" s="4"/>
    </row>
    <row r="171" spans="9:10" ht="12.75">
      <c r="I171" s="4"/>
      <c r="J171" s="4"/>
    </row>
    <row r="172" spans="9:10" ht="12.75">
      <c r="I172" s="4"/>
      <c r="J172" s="4"/>
    </row>
    <row r="173" spans="9:10" ht="12.75">
      <c r="I173" s="4"/>
      <c r="J173" s="4"/>
    </row>
    <row r="174" spans="9:10" ht="12.75">
      <c r="I174" s="4"/>
      <c r="J174" s="4"/>
    </row>
    <row r="175" spans="9:10" ht="12.75">
      <c r="I175" s="4"/>
      <c r="J175" s="4"/>
    </row>
    <row r="176" spans="9:10" ht="12.75">
      <c r="I176" s="4"/>
      <c r="J176" s="4"/>
    </row>
    <row r="177" spans="9:10" ht="12.75">
      <c r="I177" s="4"/>
      <c r="J177" s="4"/>
    </row>
    <row r="178" spans="9:10" ht="12.75">
      <c r="I178" s="4"/>
      <c r="J178" s="4"/>
    </row>
    <row r="179" spans="9:10" ht="12.75">
      <c r="I179" s="4"/>
      <c r="J179" s="4"/>
    </row>
    <row r="180" spans="9:10" ht="12.75">
      <c r="I180" s="4"/>
      <c r="J180" s="4"/>
    </row>
    <row r="181" spans="9:10" ht="12.75">
      <c r="I181" s="4"/>
      <c r="J181" s="4"/>
    </row>
    <row r="182" spans="9:10" ht="12.75">
      <c r="I182" s="4"/>
      <c r="J182" s="4"/>
    </row>
    <row r="183" spans="9:10" ht="12.75">
      <c r="I183" s="4"/>
      <c r="J183" s="4"/>
    </row>
    <row r="184" spans="9:10" ht="12.75">
      <c r="I184" s="4"/>
      <c r="J184" s="4"/>
    </row>
    <row r="185" spans="9:10" ht="12.75">
      <c r="I185" s="4"/>
      <c r="J185" s="4"/>
    </row>
    <row r="186" spans="9:10" ht="12.75">
      <c r="I186" s="4"/>
      <c r="J186" s="4"/>
    </row>
    <row r="187" spans="9:10" ht="12.75">
      <c r="I187" s="4"/>
      <c r="J187" s="4"/>
    </row>
    <row r="188" spans="9:10" ht="12.75">
      <c r="I188" s="4"/>
      <c r="J188" s="4"/>
    </row>
    <row r="189" spans="9:10" ht="12.75">
      <c r="I189" s="4"/>
      <c r="J189" s="4"/>
    </row>
    <row r="190" spans="9:10" ht="12.75">
      <c r="I190" s="4"/>
      <c r="J190" s="4"/>
    </row>
    <row r="191" spans="9:10" ht="12.75">
      <c r="I191" s="4"/>
      <c r="J191" s="4"/>
    </row>
    <row r="192" spans="9:10" ht="12.75">
      <c r="I192" s="4"/>
      <c r="J192" s="4"/>
    </row>
    <row r="193" spans="9:10" ht="12.75">
      <c r="I193" s="4"/>
      <c r="J193" s="4"/>
    </row>
    <row r="194" spans="9:10" ht="12.75">
      <c r="I194" s="4"/>
      <c r="J194" s="4"/>
    </row>
    <row r="195" spans="9:10" ht="12.75">
      <c r="I195" s="4"/>
      <c r="J195" s="4"/>
    </row>
    <row r="196" spans="9:10" ht="12.75">
      <c r="I196" s="4"/>
      <c r="J196" s="4"/>
    </row>
    <row r="197" spans="9:10" ht="12.75">
      <c r="I197" s="4"/>
      <c r="J197" s="4"/>
    </row>
    <row r="198" spans="9:10" ht="12.75">
      <c r="I198" s="4"/>
      <c r="J198" s="4"/>
    </row>
    <row r="199" spans="9:10" ht="12.75">
      <c r="I199" s="4"/>
      <c r="J199" s="4"/>
    </row>
    <row r="200" spans="9:10" ht="12.75">
      <c r="I200" s="4"/>
      <c r="J200" s="4"/>
    </row>
    <row r="201" spans="9:10" ht="12.75">
      <c r="I201" s="4"/>
      <c r="J201" s="4"/>
    </row>
    <row r="202" spans="9:10" ht="12.75">
      <c r="I202" s="4"/>
      <c r="J202" s="4"/>
    </row>
    <row r="203" spans="9:10" ht="12.75">
      <c r="I203" s="4"/>
      <c r="J203" s="4"/>
    </row>
    <row r="204" spans="9:10" ht="12.75">
      <c r="I204" s="4"/>
      <c r="J204" s="4"/>
    </row>
    <row r="205" spans="9:10" ht="12.75">
      <c r="I205" s="4"/>
      <c r="J205" s="4"/>
    </row>
    <row r="206" spans="9:10" ht="12.75">
      <c r="I206" s="4"/>
      <c r="J206" s="4"/>
    </row>
    <row r="207" spans="9:10" ht="12.75">
      <c r="I207" s="4"/>
      <c r="J207" s="4"/>
    </row>
    <row r="208" spans="9:10" ht="12.75">
      <c r="I208" s="4"/>
      <c r="J208" s="4"/>
    </row>
    <row r="209" spans="9:10" ht="12.75">
      <c r="I209" s="4"/>
      <c r="J209" s="4"/>
    </row>
    <row r="210" spans="9:10" ht="12.75">
      <c r="I210" s="4"/>
      <c r="J210" s="4"/>
    </row>
    <row r="211" spans="9:10" ht="12.75">
      <c r="I211" s="4"/>
      <c r="J211" s="4"/>
    </row>
    <row r="212" spans="9:10" ht="12.75">
      <c r="I212" s="4"/>
      <c r="J212" s="4"/>
    </row>
    <row r="213" spans="9:10" ht="12.75">
      <c r="I213" s="4"/>
      <c r="J213" s="4"/>
    </row>
    <row r="214" spans="9:10" ht="12.75">
      <c r="I214" s="4"/>
      <c r="J214" s="4"/>
    </row>
    <row r="215" spans="9:10" ht="12.75">
      <c r="I215" s="4"/>
      <c r="J215" s="4"/>
    </row>
    <row r="216" spans="9:10" ht="12.75">
      <c r="I216" s="4"/>
      <c r="J216" s="4"/>
    </row>
    <row r="217" spans="9:10" ht="12.75">
      <c r="I217" s="4"/>
      <c r="J217" s="4"/>
    </row>
    <row r="218" spans="9:10" ht="12.75">
      <c r="I218" s="4"/>
      <c r="J218" s="4"/>
    </row>
    <row r="219" spans="9:10" ht="12.75">
      <c r="I219" s="4"/>
      <c r="J219" s="4"/>
    </row>
    <row r="220" spans="9:10" ht="12.75">
      <c r="I220" s="4"/>
      <c r="J220" s="4"/>
    </row>
    <row r="221" spans="9:10" ht="12.75">
      <c r="I221" s="4"/>
      <c r="J221" s="4"/>
    </row>
    <row r="222" spans="9:10" ht="12.75">
      <c r="I222" s="4"/>
      <c r="J222" s="4"/>
    </row>
    <row r="223" spans="9:10" ht="12.75">
      <c r="I223" s="4"/>
      <c r="J223" s="4"/>
    </row>
    <row r="224" spans="9:10" ht="12.75">
      <c r="I224" s="4"/>
      <c r="J224" s="4"/>
    </row>
    <row r="225" spans="9:10" ht="12.75">
      <c r="I225" s="4"/>
      <c r="J225" s="4"/>
    </row>
    <row r="226" spans="9:10" ht="12.75">
      <c r="I226" s="4"/>
      <c r="J226" s="4"/>
    </row>
    <row r="227" spans="9:10" ht="12.75">
      <c r="I227" s="4"/>
      <c r="J227" s="4"/>
    </row>
    <row r="228" spans="9:10" ht="12.75">
      <c r="I228" s="4"/>
      <c r="J228" s="4"/>
    </row>
    <row r="229" spans="9:10" ht="12.75">
      <c r="I229" s="4"/>
      <c r="J229" s="4"/>
    </row>
    <row r="230" spans="9:10" ht="12.75">
      <c r="I230" s="4"/>
      <c r="J230" s="4"/>
    </row>
    <row r="231" spans="9:10" ht="12.75">
      <c r="I231" s="4"/>
      <c r="J231" s="4"/>
    </row>
    <row r="232" spans="9:10" ht="12.75">
      <c r="I232" s="4"/>
      <c r="J232" s="4"/>
    </row>
    <row r="233" spans="9:10" ht="12.75">
      <c r="I233" s="4"/>
      <c r="J233" s="4"/>
    </row>
    <row r="234" spans="9:10" ht="12.75">
      <c r="I234" s="4"/>
      <c r="J234" s="4"/>
    </row>
    <row r="235" spans="9:10" ht="12.75">
      <c r="I235" s="4"/>
      <c r="J235" s="4"/>
    </row>
    <row r="236" spans="9:10" ht="12.75">
      <c r="I236" s="4"/>
      <c r="J236" s="4"/>
    </row>
    <row r="237" spans="9:10" ht="12.75">
      <c r="I237" s="4"/>
      <c r="J237" s="4"/>
    </row>
    <row r="238" spans="9:10" ht="12.75">
      <c r="I238" s="4"/>
      <c r="J238" s="4"/>
    </row>
    <row r="239" spans="9:10" ht="12.75">
      <c r="I239" s="4"/>
      <c r="J239" s="4"/>
    </row>
    <row r="240" spans="9:10" ht="12.75">
      <c r="I240" s="4"/>
      <c r="J240" s="4"/>
    </row>
    <row r="241" spans="9:10" ht="12.75">
      <c r="I241" s="4"/>
      <c r="J241" s="4"/>
    </row>
    <row r="242" spans="9:10" ht="12.75">
      <c r="I242" s="4"/>
      <c r="J242" s="4"/>
    </row>
    <row r="243" spans="9:10" ht="12.75">
      <c r="I243" s="4"/>
      <c r="J243" s="4"/>
    </row>
    <row r="244" spans="9:10" ht="12.75">
      <c r="I244" s="4"/>
      <c r="J244" s="4"/>
    </row>
    <row r="245" spans="9:10" ht="12.75">
      <c r="I245" s="4"/>
      <c r="J245" s="4"/>
    </row>
    <row r="246" spans="9:10" ht="12.75">
      <c r="I246" s="4"/>
      <c r="J246" s="4"/>
    </row>
    <row r="247" spans="9:10" ht="12.75">
      <c r="I247" s="4"/>
      <c r="J247" s="4"/>
    </row>
    <row r="248" spans="9:10" ht="12.75">
      <c r="I248" s="4"/>
      <c r="J248" s="4"/>
    </row>
    <row r="249" spans="9:10" ht="12.75">
      <c r="I249" s="4"/>
      <c r="J249" s="4"/>
    </row>
    <row r="250" spans="9:10" ht="12.75">
      <c r="I250" s="4"/>
      <c r="J250" s="4"/>
    </row>
    <row r="251" spans="9:10" ht="12.75">
      <c r="I251" s="4"/>
      <c r="J251" s="4"/>
    </row>
    <row r="252" spans="9:10" ht="12.75">
      <c r="I252" s="4"/>
      <c r="J252" s="4"/>
    </row>
    <row r="253" spans="9:10" ht="12.75">
      <c r="I253" s="4"/>
      <c r="J253" s="4"/>
    </row>
    <row r="254" spans="9:10" ht="12.75">
      <c r="I254" s="4"/>
      <c r="J254" s="4"/>
    </row>
    <row r="255" spans="9:10" ht="12.75">
      <c r="I255" s="4"/>
      <c r="J255" s="4"/>
    </row>
    <row r="256" spans="9:10" ht="12.75">
      <c r="I256" s="4"/>
      <c r="J256" s="4"/>
    </row>
    <row r="257" spans="9:10" ht="12.75">
      <c r="I257" s="4"/>
      <c r="J257" s="4"/>
    </row>
    <row r="258" spans="9:10" ht="12.75">
      <c r="I258" s="4"/>
      <c r="J258" s="4"/>
    </row>
    <row r="259" spans="9:10" ht="12.75">
      <c r="I259" s="4"/>
      <c r="J259" s="4"/>
    </row>
    <row r="260" spans="9:10" ht="12.75">
      <c r="I260" s="4"/>
      <c r="J260" s="4"/>
    </row>
    <row r="261" spans="9:10" ht="12.75">
      <c r="I261" s="4"/>
      <c r="J261" s="4"/>
    </row>
    <row r="262" spans="9:10" ht="12.75">
      <c r="I262" s="4"/>
      <c r="J262" s="4"/>
    </row>
    <row r="263" spans="9:10" ht="12.75">
      <c r="I263" s="4"/>
      <c r="J263" s="4"/>
    </row>
    <row r="264" spans="9:10" ht="12.75">
      <c r="I264" s="4"/>
      <c r="J264" s="4"/>
    </row>
    <row r="265" spans="9:10" ht="12.75">
      <c r="I265" s="4"/>
      <c r="J265" s="4"/>
    </row>
    <row r="266" spans="9:10" ht="12.75">
      <c r="I266" s="4"/>
      <c r="J266" s="4"/>
    </row>
    <row r="267" spans="9:10" ht="12.75">
      <c r="I267" s="4"/>
      <c r="J267" s="4"/>
    </row>
    <row r="268" spans="9:10" ht="12.75">
      <c r="I268" s="4"/>
      <c r="J268" s="4"/>
    </row>
    <row r="269" spans="9:10" ht="12.75">
      <c r="I269" s="4"/>
      <c r="J269" s="4"/>
    </row>
    <row r="270" spans="9:10" ht="12.75">
      <c r="I270" s="4"/>
      <c r="J270" s="4"/>
    </row>
    <row r="271" spans="9:10" ht="12.75">
      <c r="I271" s="4"/>
      <c r="J271" s="4"/>
    </row>
    <row r="272" spans="9:10" ht="12.75">
      <c r="I272" s="4"/>
      <c r="J272" s="4"/>
    </row>
    <row r="273" spans="9:10" ht="12.75">
      <c r="I273" s="4"/>
      <c r="J273" s="4"/>
    </row>
    <row r="274" spans="9:10" ht="12.75">
      <c r="I274" s="4"/>
      <c r="J274" s="4"/>
    </row>
    <row r="275" spans="9:10" ht="12.75">
      <c r="I275" s="4"/>
      <c r="J275" s="4"/>
    </row>
    <row r="276" spans="9:10" ht="12.75">
      <c r="I276" s="4"/>
      <c r="J276" s="4"/>
    </row>
    <row r="277" spans="9:10" ht="12.75">
      <c r="I277" s="4"/>
      <c r="J277" s="4"/>
    </row>
    <row r="278" spans="9:10" ht="12.75">
      <c r="I278" s="4"/>
      <c r="J278" s="4"/>
    </row>
    <row r="279" spans="9:10" ht="12.75">
      <c r="I279" s="4"/>
      <c r="J279" s="4"/>
    </row>
    <row r="280" spans="9:10" ht="12.75">
      <c r="I280" s="4"/>
      <c r="J280" s="4"/>
    </row>
    <row r="281" spans="9:10" ht="12.75">
      <c r="I281" s="4"/>
      <c r="J281" s="4"/>
    </row>
    <row r="282" spans="9:10" ht="12.75">
      <c r="I282" s="4"/>
      <c r="J282" s="4"/>
    </row>
    <row r="283" spans="9:10" ht="12.75">
      <c r="I283" s="4"/>
      <c r="J283" s="4"/>
    </row>
    <row r="284" spans="9:10" ht="12.75">
      <c r="I284" s="4"/>
      <c r="J284" s="4"/>
    </row>
    <row r="285" spans="9:10" ht="12.75">
      <c r="I285" s="4"/>
      <c r="J285" s="4"/>
    </row>
    <row r="286" spans="9:10" ht="12.75">
      <c r="I286" s="4"/>
      <c r="J286" s="4"/>
    </row>
    <row r="287" spans="9:10" ht="12.75">
      <c r="I287" s="4"/>
      <c r="J287" s="4"/>
    </row>
    <row r="288" spans="9:10" ht="12.75">
      <c r="I288" s="4"/>
      <c r="J288" s="4"/>
    </row>
    <row r="289" spans="9:10" ht="12.75">
      <c r="I289" s="4"/>
      <c r="J289" s="4"/>
    </row>
    <row r="290" spans="9:10" ht="12.75">
      <c r="I290" s="4"/>
      <c r="J290" s="4"/>
    </row>
    <row r="291" spans="9:10" ht="12.75">
      <c r="I291" s="4"/>
      <c r="J291" s="4"/>
    </row>
    <row r="292" spans="9:10" ht="12.75">
      <c r="I292" s="4"/>
      <c r="J292" s="4"/>
    </row>
    <row r="293" spans="9:10" ht="12.75">
      <c r="I293" s="4"/>
      <c r="J293" s="4"/>
    </row>
    <row r="294" spans="9:10" ht="12.75">
      <c r="I294" s="4"/>
      <c r="J294" s="4"/>
    </row>
    <row r="295" spans="9:10" ht="12.75">
      <c r="I295" s="4"/>
      <c r="J295" s="4"/>
    </row>
    <row r="296" spans="9:10" ht="12.75">
      <c r="I296" s="4"/>
      <c r="J296" s="4"/>
    </row>
    <row r="297" spans="9:10" ht="12.75">
      <c r="I297" s="4"/>
      <c r="J297" s="4"/>
    </row>
    <row r="298" spans="9:10" ht="12.75">
      <c r="I298" s="4"/>
      <c r="J298" s="4"/>
    </row>
    <row r="299" spans="9:10" ht="12.75">
      <c r="I299" s="4"/>
      <c r="J299" s="4"/>
    </row>
    <row r="300" spans="9:10" ht="12.75">
      <c r="I300" s="4"/>
      <c r="J300" s="4"/>
    </row>
    <row r="301" spans="9:10" ht="12.75">
      <c r="I301" s="4"/>
      <c r="J301" s="4"/>
    </row>
    <row r="302" spans="9:10" ht="12.75">
      <c r="I302" s="4"/>
      <c r="J302" s="4"/>
    </row>
    <row r="303" spans="9:10" ht="12.75">
      <c r="I303" s="4"/>
      <c r="J303" s="4"/>
    </row>
    <row r="304" spans="9:10" ht="12.75">
      <c r="I304" s="4"/>
      <c r="J304" s="4"/>
    </row>
    <row r="305" spans="9:10" ht="12.75">
      <c r="I305" s="4"/>
      <c r="J305" s="4"/>
    </row>
    <row r="306" spans="9:10" ht="12.75">
      <c r="I306" s="4"/>
      <c r="J306" s="4"/>
    </row>
    <row r="307" spans="9:10" ht="12.75">
      <c r="I307" s="4"/>
      <c r="J307" s="4"/>
    </row>
    <row r="308" spans="9:10" ht="12.75">
      <c r="I308" s="4"/>
      <c r="J308" s="4"/>
    </row>
    <row r="309" spans="9:10" ht="12.75">
      <c r="I309" s="4"/>
      <c r="J309" s="4"/>
    </row>
    <row r="310" spans="9:10" ht="12.75">
      <c r="I310" s="4"/>
      <c r="J310" s="4"/>
    </row>
    <row r="311" spans="9:10" ht="12.75">
      <c r="I311" s="4"/>
      <c r="J311" s="4"/>
    </row>
    <row r="312" spans="9:10" ht="12.75">
      <c r="I312" s="4"/>
      <c r="J312" s="4"/>
    </row>
    <row r="313" spans="9:10" ht="12.75">
      <c r="I313" s="4"/>
      <c r="J313" s="4"/>
    </row>
    <row r="314" spans="9:10" ht="12.75">
      <c r="I314" s="4"/>
      <c r="J314" s="4"/>
    </row>
    <row r="315" spans="9:10" ht="12.75">
      <c r="I315" s="4"/>
      <c r="J315" s="4"/>
    </row>
    <row r="316" spans="9:10" ht="12.75">
      <c r="I316" s="4"/>
      <c r="J316" s="4"/>
    </row>
    <row r="317" spans="9:10" ht="12.75">
      <c r="I317" s="4"/>
      <c r="J317" s="4"/>
    </row>
    <row r="318" spans="9:10" ht="12.75">
      <c r="I318" s="4"/>
      <c r="J318" s="4"/>
    </row>
    <row r="319" spans="9:10" ht="12.75">
      <c r="I319" s="4"/>
      <c r="J319" s="4"/>
    </row>
    <row r="320" spans="9:10" ht="12.75">
      <c r="I320" s="4"/>
      <c r="J320" s="4"/>
    </row>
    <row r="321" spans="9:10" ht="12.75">
      <c r="I321" s="4"/>
      <c r="J321" s="4"/>
    </row>
    <row r="322" spans="9:10" ht="12.75">
      <c r="I322" s="4"/>
      <c r="J322" s="4"/>
    </row>
    <row r="323" spans="9:10" ht="12.75">
      <c r="I323" s="4"/>
      <c r="J323" s="4"/>
    </row>
    <row r="324" spans="9:10" ht="12.75">
      <c r="I324" s="4"/>
      <c r="J324" s="4"/>
    </row>
    <row r="325" spans="9:10" ht="12.75">
      <c r="I325" s="4"/>
      <c r="J325" s="4"/>
    </row>
    <row r="326" spans="9:10" ht="12.75">
      <c r="I326" s="4"/>
      <c r="J326" s="4"/>
    </row>
    <row r="327" spans="9:10" ht="12.75">
      <c r="I327" s="4"/>
      <c r="J327" s="4"/>
    </row>
    <row r="328" spans="9:10" ht="12.75">
      <c r="I328" s="4"/>
      <c r="J328" s="4"/>
    </row>
    <row r="329" spans="9:10" ht="12.75">
      <c r="I329" s="4"/>
      <c r="J329" s="4"/>
    </row>
    <row r="330" spans="9:10" ht="12.75">
      <c r="I330" s="4"/>
      <c r="J330" s="4"/>
    </row>
    <row r="331" spans="9:10" ht="12.75">
      <c r="I331" s="4"/>
      <c r="J331" s="4"/>
    </row>
    <row r="332" spans="9:10" ht="12.75">
      <c r="I332" s="4"/>
      <c r="J332" s="4"/>
    </row>
    <row r="333" spans="9:10" ht="12.75">
      <c r="I333" s="4"/>
      <c r="J333" s="4"/>
    </row>
    <row r="334" spans="9:10" ht="12.75">
      <c r="I334" s="4"/>
      <c r="J334" s="4"/>
    </row>
    <row r="335" spans="9:10" ht="12.75">
      <c r="I335" s="4"/>
      <c r="J335" s="4"/>
    </row>
    <row r="336" spans="9:10" ht="12.75">
      <c r="I336" s="4"/>
      <c r="J336" s="4"/>
    </row>
    <row r="337" spans="9:10" ht="12.75">
      <c r="I337" s="4"/>
      <c r="J337" s="4"/>
    </row>
    <row r="338" spans="9:10" ht="12.75">
      <c r="I338" s="4"/>
      <c r="J338" s="4"/>
    </row>
    <row r="339" spans="9:10" ht="12.75">
      <c r="I339" s="4"/>
      <c r="J339" s="4"/>
    </row>
    <row r="340" spans="9:10" ht="12.75">
      <c r="I340" s="4"/>
      <c r="J340" s="4"/>
    </row>
    <row r="341" spans="9:10" ht="12.75">
      <c r="I341" s="4"/>
      <c r="J341" s="4"/>
    </row>
    <row r="342" spans="9:10" ht="12.75">
      <c r="I342" s="4"/>
      <c r="J342" s="4"/>
    </row>
    <row r="343" spans="9:10" ht="12.75">
      <c r="I343" s="4"/>
      <c r="J343" s="4"/>
    </row>
    <row r="344" spans="9:10" ht="12.75">
      <c r="I344" s="4"/>
      <c r="J344" s="4"/>
    </row>
    <row r="345" spans="9:10" ht="12.75">
      <c r="I345" s="4"/>
      <c r="J345" s="4"/>
    </row>
    <row r="346" spans="9:10" ht="12.75">
      <c r="I346" s="4"/>
      <c r="J346" s="4"/>
    </row>
    <row r="347" spans="9:10" ht="12.75">
      <c r="I347" s="4"/>
      <c r="J347" s="4"/>
    </row>
    <row r="348" spans="9:10" ht="12.75">
      <c r="I348" s="4"/>
      <c r="J348" s="4"/>
    </row>
    <row r="349" spans="9:10" ht="12.75">
      <c r="I349" s="4"/>
      <c r="J349" s="4"/>
    </row>
    <row r="350" spans="9:10" ht="12.75">
      <c r="I350" s="4"/>
      <c r="J350" s="4"/>
    </row>
    <row r="351" spans="9:10" ht="12.75">
      <c r="I351" s="4"/>
      <c r="J351" s="4"/>
    </row>
    <row r="352" spans="9:10" ht="12.75">
      <c r="I352" s="4"/>
      <c r="J352" s="4"/>
    </row>
    <row r="353" spans="9:10" ht="12.75">
      <c r="I353" s="4"/>
      <c r="J353" s="4"/>
    </row>
    <row r="354" spans="9:10" ht="12.75">
      <c r="I354" s="4"/>
      <c r="J354" s="4"/>
    </row>
    <row r="355" spans="9:10" ht="12.75">
      <c r="I355" s="4"/>
      <c r="J355" s="4"/>
    </row>
    <row r="356" spans="9:10" ht="12.75">
      <c r="I356" s="4"/>
      <c r="J356" s="4"/>
    </row>
    <row r="357" spans="9:10" ht="12.75">
      <c r="I357" s="4"/>
      <c r="J357" s="4"/>
    </row>
    <row r="358" spans="9:10" ht="12.75">
      <c r="I358" s="4"/>
      <c r="J358" s="4"/>
    </row>
    <row r="359" spans="9:10" ht="12.75">
      <c r="I359" s="4"/>
      <c r="J359" s="4"/>
    </row>
    <row r="360" spans="9:10" ht="12.75">
      <c r="I360" s="4"/>
      <c r="J360" s="4"/>
    </row>
    <row r="361" spans="9:10" ht="12.75">
      <c r="I361" s="4"/>
      <c r="J361" s="4"/>
    </row>
    <row r="362" spans="9:10" ht="12.75">
      <c r="I362" s="4"/>
      <c r="J362" s="4"/>
    </row>
    <row r="363" spans="9:10" ht="12.75">
      <c r="I363" s="4"/>
      <c r="J363" s="4"/>
    </row>
    <row r="364" spans="9:10" ht="12.75">
      <c r="I364" s="4"/>
      <c r="J364" s="4"/>
    </row>
    <row r="365" spans="9:10" ht="12.75">
      <c r="I365" s="4"/>
      <c r="J365" s="4"/>
    </row>
    <row r="366" spans="9:10" ht="12.75">
      <c r="I366" s="4"/>
      <c r="J366" s="4"/>
    </row>
    <row r="367" spans="9:10" ht="12.75">
      <c r="I367" s="4"/>
      <c r="J367" s="4"/>
    </row>
    <row r="368" spans="9:10" ht="12.75">
      <c r="I368" s="4"/>
      <c r="J368" s="4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Serguei</dc:creator>
  <cp:keywords/>
  <dc:description/>
  <cp:lastModifiedBy>Serg</cp:lastModifiedBy>
  <cp:lastPrinted>2008-06-14T09:21:46Z</cp:lastPrinted>
  <dcterms:created xsi:type="dcterms:W3CDTF">2002-06-04T05:53:17Z</dcterms:created>
  <dcterms:modified xsi:type="dcterms:W3CDTF">2009-01-03T05:42:55Z</dcterms:modified>
  <cp:category/>
  <cp:version/>
  <cp:contentType/>
  <cp:contentStatus/>
</cp:coreProperties>
</file>