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EA59"/>
  <workbookPr/>
  <bookViews>
    <workbookView xWindow="120" yWindow="45" windowWidth="742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<sst xmlns="http://schemas.openxmlformats.org/spreadsheetml/2006/main" count="136" uniqueCount="122">
  <si>
    <t>Агеева</t>
  </si>
  <si>
    <t>Блок</t>
  </si>
  <si>
    <t>Васильева НД</t>
  </si>
  <si>
    <t>Гамзаев</t>
  </si>
  <si>
    <t>Глушков</t>
  </si>
  <si>
    <t>Гуляева</t>
  </si>
  <si>
    <t>Ерохин</t>
  </si>
  <si>
    <t>Захарова</t>
  </si>
  <si>
    <t>Капранов</t>
  </si>
  <si>
    <t>Коптлеуов</t>
  </si>
  <si>
    <t>Любовская</t>
  </si>
  <si>
    <t>Матвиенко</t>
  </si>
  <si>
    <t>Насартдинова</t>
  </si>
  <si>
    <t>Ненашкин</t>
  </si>
  <si>
    <t>Парамонов</t>
  </si>
  <si>
    <t>Петрусенко</t>
  </si>
  <si>
    <t>Сорокин АВ</t>
  </si>
  <si>
    <t>Тюляхов</t>
  </si>
  <si>
    <t>Шамсутдинов</t>
  </si>
  <si>
    <t>Шушаков</t>
  </si>
  <si>
    <t>Эн1-91</t>
  </si>
  <si>
    <t>Эн1-92</t>
  </si>
  <si>
    <t>Абдразаков</t>
  </si>
  <si>
    <t>Акульшина</t>
  </si>
  <si>
    <t>Беспалов</t>
  </si>
  <si>
    <t>Васильева ОА</t>
  </si>
  <si>
    <t>Джафаров</t>
  </si>
  <si>
    <t>Зубрицкий</t>
  </si>
  <si>
    <t>Карамнов</t>
  </si>
  <si>
    <t>Кулаков</t>
  </si>
  <si>
    <t>Лобзина</t>
  </si>
  <si>
    <t>Лукьянова</t>
  </si>
  <si>
    <t>Михно</t>
  </si>
  <si>
    <t>Ольшанский</t>
  </si>
  <si>
    <t>Слинкин</t>
  </si>
  <si>
    <t>Смирнов</t>
  </si>
  <si>
    <t>Уженцев ВА</t>
  </si>
  <si>
    <t>Уженцев СА</t>
  </si>
  <si>
    <t>Эн1-93</t>
  </si>
  <si>
    <t>Аларушкина</t>
  </si>
  <si>
    <t>Владимирова</t>
  </si>
  <si>
    <t>Во</t>
  </si>
  <si>
    <t>Воронина</t>
  </si>
  <si>
    <t>Добрынин</t>
  </si>
  <si>
    <t>Долгов</t>
  </si>
  <si>
    <t>Косточкин</t>
  </si>
  <si>
    <t>Кропотов</t>
  </si>
  <si>
    <t>Литвинов</t>
  </si>
  <si>
    <t>Мигалкина</t>
  </si>
  <si>
    <t>Муравьева</t>
  </si>
  <si>
    <t>Панов</t>
  </si>
  <si>
    <t>Поддубняк</t>
  </si>
  <si>
    <t>Пранкевич</t>
  </si>
  <si>
    <t>Степанюк</t>
  </si>
  <si>
    <t>Чечулин</t>
  </si>
  <si>
    <t>Шутович</t>
  </si>
  <si>
    <t>Эн1-94</t>
  </si>
  <si>
    <t>Алехина</t>
  </si>
  <si>
    <t>Апросимов</t>
  </si>
  <si>
    <t>Байзигитов</t>
  </si>
  <si>
    <t>Батраев</t>
  </si>
  <si>
    <t>Бондарь</t>
  </si>
  <si>
    <t>Елизаров</t>
  </si>
  <si>
    <t>Емашова</t>
  </si>
  <si>
    <t>Иванов ВА</t>
  </si>
  <si>
    <t>Киргинцев</t>
  </si>
  <si>
    <t>Маевский</t>
  </si>
  <si>
    <t>Меньшиков</t>
  </si>
  <si>
    <t>Моисеев</t>
  </si>
  <si>
    <t>Наяксов</t>
  </si>
  <si>
    <t>Пархоменко</t>
  </si>
  <si>
    <t>Попелюх</t>
  </si>
  <si>
    <t>Провоторов</t>
  </si>
  <si>
    <t>Сильченко</t>
  </si>
  <si>
    <t>Сорокин ИВ</t>
  </si>
  <si>
    <t>Филиппов</t>
  </si>
  <si>
    <t>Чапаев</t>
  </si>
  <si>
    <t>Ченцов</t>
  </si>
  <si>
    <t>Чурина</t>
  </si>
  <si>
    <t>Лаб</t>
  </si>
  <si>
    <t>Посещ</t>
  </si>
  <si>
    <t>Могилин</t>
  </si>
  <si>
    <t>Корнеева</t>
  </si>
  <si>
    <t>Миллер</t>
  </si>
  <si>
    <t>Вес. коэф.</t>
  </si>
  <si>
    <t>КР</t>
  </si>
  <si>
    <t>РГР</t>
  </si>
  <si>
    <t>Лаб.</t>
  </si>
  <si>
    <t>Примечания:</t>
  </si>
  <si>
    <t>будет посчитано позже , т.к. сделаны/защищены не вовремя (С).</t>
  </si>
  <si>
    <t>Мощевитин</t>
  </si>
  <si>
    <t>У кого уже есть "автомат", но хочется выше (но может оказаться и ниже), добро пожаловать на экзамен.</t>
  </si>
  <si>
    <r>
      <t xml:space="preserve">те - </t>
    </r>
    <r>
      <rPr>
        <b/>
        <u val="single"/>
        <sz val="11"/>
        <color indexed="8"/>
        <rFont val="Calibri"/>
        <family val="2"/>
      </rPr>
      <t>ДОЛЖНИКИ,</t>
    </r>
    <r>
      <rPr>
        <b/>
        <sz val="11"/>
        <color indexed="8"/>
        <rFont val="Calibri"/>
        <family val="2"/>
      </rPr>
      <t xml:space="preserve"> и к экзамену по физике допущены не будут</t>
    </r>
  </si>
  <si>
    <t>ЭкзМех</t>
  </si>
  <si>
    <t>ЭкзТерм</t>
  </si>
  <si>
    <t>ЭкзСред</t>
  </si>
  <si>
    <t>ИТОГ</t>
  </si>
  <si>
    <t>уд</t>
  </si>
  <si>
    <t>хор</t>
  </si>
  <si>
    <t>Границы</t>
  </si>
  <si>
    <t>отл</t>
  </si>
  <si>
    <t>неуд</t>
  </si>
  <si>
    <t>КР1эл</t>
  </si>
  <si>
    <t>КР2маг</t>
  </si>
  <si>
    <t>РГР1эл</t>
  </si>
  <si>
    <t>РГР2маг</t>
  </si>
  <si>
    <t xml:space="preserve">это означает: не проставлен зачет и сумма преподавателем (Сф,Ср,Сп); </t>
  </si>
  <si>
    <t>Шошин</t>
  </si>
  <si>
    <t>Куприянова</t>
  </si>
  <si>
    <t>Копий</t>
  </si>
  <si>
    <t>Фаттахов</t>
  </si>
  <si>
    <t>Кижнер</t>
  </si>
  <si>
    <t>Ачкасов</t>
  </si>
  <si>
    <t>Маринич</t>
  </si>
  <si>
    <t>Ишметов</t>
  </si>
  <si>
    <t xml:space="preserve">У кого до экзамена останется не заполнена строчка по ЛАБ. , по КР, по РГР, </t>
  </si>
  <si>
    <t>Средн</t>
  </si>
  <si>
    <t>Итог</t>
  </si>
  <si>
    <t>Коррекц</t>
  </si>
  <si>
    <t>%</t>
  </si>
  <si>
    <t>П.С. по итогам экзаменов "автоматы" могут быть пересчитаны в более высокую сторону</t>
  </si>
  <si>
    <t xml:space="preserve">У кого подчеркнута или не заполнена строчка по ЛАБ.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</si>
</sst>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 applyAlignment="1">
      <alignment/>
    </xf>
    <xf numFmtId="9" fontId="0" fillId="0" borderId="0" xfId="57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1" fillId="0" borderId="0" xfId="0" applyNumberFormat="1" applyFont="1" applyAlignment="1">
      <alignment horizontal="left"/>
    </xf>
    <xf numFmtId="9" fontId="5" fillId="0" borderId="0" xfId="0" applyNumberFormat="1" applyFont="1" applyAlignment="1">
      <alignment/>
    </xf>
    <xf numFmtId="9" fontId="1" fillId="0" borderId="0" xfId="57" applyFont="1" applyAlignment="1">
      <alignment/>
    </xf>
    <xf numFmtId="9" fontId="1" fillId="0" borderId="0" xfId="57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57" applyNumberFormat="1" applyFont="1" applyAlignment="1">
      <alignment/>
    </xf>
    <xf numFmtId="9" fontId="1" fillId="0" borderId="0" xfId="57" applyNumberFormat="1" applyFont="1" applyAlignment="1">
      <alignment/>
    </xf>
    <xf numFmtId="9" fontId="1" fillId="0" borderId="0" xfId="0" applyNumberFormat="1" applyFont="1" applyAlignment="1">
      <alignment/>
    </xf>
    <xf numFmtId="9" fontId="1" fillId="0" borderId="0" xfId="57" applyFont="1" applyAlignment="1">
      <alignment/>
    </xf>
    <xf numFmtId="9" fontId="21" fillId="0" borderId="0" xfId="57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PageLayoutView="0" workbookViewId="0" topLeftCell="A3">
      <pane xSplit="1980" ySplit="1155" topLeftCell="A89" activePane="bottomRight" state="split"/>
      <selection pane="topLeft" activeCell="G8" sqref="G8"/>
      <selection pane="topRight" activeCell="P3" sqref="P1:P16384"/>
      <selection pane="bottomLeft" activeCell="A64" sqref="A64:IV64"/>
      <selection pane="bottomRight" activeCell="D105" sqref="D105"/>
    </sheetView>
  </sheetViews>
  <sheetFormatPr defaultColWidth="9.140625" defaultRowHeight="15"/>
  <cols>
    <col min="2" max="2" width="6.00390625" style="0" customWidth="1"/>
    <col min="3" max="3" width="7.421875" style="0" customWidth="1"/>
    <col min="7" max="7" width="4.421875" style="0" customWidth="1"/>
    <col min="8" max="8" width="3.140625" style="0" customWidth="1"/>
    <col min="9" max="9" width="7.140625" style="0" customWidth="1"/>
    <col min="10" max="10" width="2.8515625" style="0" customWidth="1"/>
    <col min="11" max="11" width="5.00390625" style="0" customWidth="1"/>
    <col min="12" max="12" width="5.8515625" style="0" customWidth="1"/>
    <col min="13" max="14" width="4.421875" style="0" customWidth="1"/>
    <col min="15" max="16" width="6.00390625" style="0" customWidth="1"/>
    <col min="17" max="17" width="4.421875" style="0" customWidth="1"/>
    <col min="18" max="18" width="5.8515625" style="1" customWidth="1"/>
    <col min="19" max="19" width="4.8515625" style="1" customWidth="1"/>
    <col min="20" max="20" width="5.8515625" style="1" customWidth="1"/>
    <col min="21" max="21" width="6.140625" style="7" customWidth="1"/>
    <col min="22" max="22" width="1.1484375" style="9" customWidth="1"/>
    <col min="23" max="23" width="6.421875" style="0" customWidth="1"/>
  </cols>
  <sheetData>
    <row r="1" ht="15">
      <c r="R1" s="13" t="s">
        <v>116</v>
      </c>
    </row>
    <row r="2" spans="1:18" ht="15">
      <c r="A2" t="s">
        <v>84</v>
      </c>
      <c r="C2" t="s">
        <v>85</v>
      </c>
      <c r="D2" t="s">
        <v>86</v>
      </c>
      <c r="E2" t="s">
        <v>87</v>
      </c>
      <c r="F2" t="s">
        <v>80</v>
      </c>
      <c r="I2" t="s">
        <v>99</v>
      </c>
      <c r="K2" t="s">
        <v>101</v>
      </c>
      <c r="L2" t="s">
        <v>97</v>
      </c>
      <c r="M2" t="s">
        <v>98</v>
      </c>
      <c r="N2" t="s">
        <v>100</v>
      </c>
      <c r="R2" s="13">
        <f>AVERAGE(O7:O27,O30:O51,O54:O75,O78:O99)</f>
        <v>0.414095189800058</v>
      </c>
    </row>
    <row r="3" spans="3:14" ht="15">
      <c r="C3">
        <v>0.4</v>
      </c>
      <c r="D3">
        <v>0.3</v>
      </c>
      <c r="E3">
        <v>0.25</v>
      </c>
      <c r="F3">
        <v>0.05</v>
      </c>
      <c r="K3">
        <v>0</v>
      </c>
      <c r="L3" s="1" t="s">
        <v>119</v>
      </c>
      <c r="M3" s="1">
        <v>0.7</v>
      </c>
      <c r="N3" s="1">
        <v>0.85</v>
      </c>
    </row>
    <row r="4" spans="15:16" ht="15">
      <c r="O4" t="s">
        <v>117</v>
      </c>
      <c r="P4" t="s">
        <v>118</v>
      </c>
    </row>
    <row r="5" spans="3:21" ht="15">
      <c r="C5" t="s">
        <v>102</v>
      </c>
      <c r="D5" t="s">
        <v>103</v>
      </c>
      <c r="E5" t="s">
        <v>104</v>
      </c>
      <c r="F5" t="s">
        <v>105</v>
      </c>
      <c r="G5" t="s">
        <v>79</v>
      </c>
      <c r="I5" t="s">
        <v>80</v>
      </c>
      <c r="R5" s="1" t="s">
        <v>93</v>
      </c>
      <c r="S5" s="1" t="s">
        <v>94</v>
      </c>
      <c r="T5" s="1" t="s">
        <v>95</v>
      </c>
      <c r="U5" s="8" t="s">
        <v>96</v>
      </c>
    </row>
    <row r="6" spans="1:9" ht="15">
      <c r="A6" t="s">
        <v>20</v>
      </c>
      <c r="C6" s="1"/>
      <c r="D6" s="1"/>
      <c r="E6" s="1"/>
      <c r="F6" s="1"/>
      <c r="G6" s="1"/>
      <c r="H6" s="1"/>
      <c r="I6" s="1"/>
    </row>
    <row r="7" spans="1:16" ht="15">
      <c r="A7" t="s">
        <v>0</v>
      </c>
      <c r="C7" s="1">
        <f>0/5</f>
        <v>0</v>
      </c>
      <c r="D7" s="1">
        <f>0.75/5</f>
        <v>0.15</v>
      </c>
      <c r="E7" s="1">
        <f>1.25/4</f>
        <v>0.3125</v>
      </c>
      <c r="F7" s="1">
        <f>3.75/4</f>
        <v>0.9375</v>
      </c>
      <c r="G7" s="1">
        <f>22.5/40</f>
        <v>0.5625</v>
      </c>
      <c r="H7" s="1"/>
      <c r="I7" s="1">
        <f>14/17</f>
        <v>0.8235294117647058</v>
      </c>
      <c r="O7" s="2">
        <f>(C7+D7)*$C$3/2+(E7+F7)*$D$3/2+G7*$E$3+I7*$F$3</f>
        <v>0.39930147058823534</v>
      </c>
      <c r="P7" s="2">
        <f>O7*0.45/$R$2</f>
        <v>0.4339235668288382</v>
      </c>
    </row>
    <row r="8" spans="1:16" ht="15">
      <c r="A8" t="s">
        <v>1</v>
      </c>
      <c r="C8" s="1">
        <f>0/5</f>
        <v>0</v>
      </c>
      <c r="D8" s="1">
        <f>0/5</f>
        <v>0</v>
      </c>
      <c r="E8" s="1">
        <f>4/4</f>
        <v>1</v>
      </c>
      <c r="F8" s="1"/>
      <c r="G8" s="14">
        <f>0.68</f>
        <v>0.68</v>
      </c>
      <c r="H8" s="1"/>
      <c r="I8" s="1">
        <f>8/17</f>
        <v>0.47058823529411764</v>
      </c>
      <c r="O8" s="2">
        <f>(C8+D8)*$C$3/2+(E8+F8)*$D$3/2+G8*$E$3+I8*$F$3</f>
        <v>0.34352941176470586</v>
      </c>
      <c r="P8" s="2">
        <f aca="true" t="shared" si="0" ref="P8:P71">O8*0.45/$R$2</f>
        <v>0.37331569914820584</v>
      </c>
    </row>
    <row r="9" spans="1:16" ht="15">
      <c r="A9" t="s">
        <v>2</v>
      </c>
      <c r="C9" s="1">
        <f>0/5</f>
        <v>0</v>
      </c>
      <c r="D9" s="1">
        <f>0.25/5</f>
        <v>0.05</v>
      </c>
      <c r="E9" s="1"/>
      <c r="F9" s="1">
        <f>0.25/4</f>
        <v>0.0625</v>
      </c>
      <c r="G9" s="14">
        <f>0.5</f>
        <v>0.5</v>
      </c>
      <c r="H9" s="1"/>
      <c r="I9" s="1">
        <f>13/17</f>
        <v>0.7647058823529411</v>
      </c>
      <c r="O9" s="2">
        <f aca="true" t="shared" si="1" ref="O9:O27">(C9+D9)*$C$3/2+(E9+F9)*$D$3/2+G9*$E$3+I9*$F$3</f>
        <v>0.18261029411764707</v>
      </c>
      <c r="P9" s="2">
        <f t="shared" si="0"/>
        <v>0.19844382252452256</v>
      </c>
    </row>
    <row r="10" spans="1:16" ht="15">
      <c r="A10" t="s">
        <v>3</v>
      </c>
      <c r="C10" s="1">
        <f>0.75/5</f>
        <v>0.15</v>
      </c>
      <c r="D10" s="1">
        <f>1/5</f>
        <v>0.2</v>
      </c>
      <c r="E10" s="1">
        <f>1.5/4</f>
        <v>0.375</v>
      </c>
      <c r="F10" s="1">
        <f>4/4</f>
        <v>1</v>
      </c>
      <c r="G10" s="1">
        <f>27.5/40</f>
        <v>0.6875</v>
      </c>
      <c r="H10" s="1"/>
      <c r="I10" s="1">
        <f>15/17</f>
        <v>0.8823529411764706</v>
      </c>
      <c r="O10" s="2">
        <f t="shared" si="1"/>
        <v>0.49224264705882353</v>
      </c>
      <c r="P10" s="2">
        <f t="shared" si="0"/>
        <v>0.5349233621463322</v>
      </c>
    </row>
    <row r="11" spans="1:16" ht="15">
      <c r="A11" t="s">
        <v>4</v>
      </c>
      <c r="C11" s="1">
        <f>0.25/5</f>
        <v>0.05</v>
      </c>
      <c r="D11" s="1">
        <f>0.25/5</f>
        <v>0.05</v>
      </c>
      <c r="E11" s="1">
        <f>0/4</f>
        <v>0</v>
      </c>
      <c r="F11" s="1">
        <f>0/4</f>
        <v>0</v>
      </c>
      <c r="G11" s="1">
        <f>15/40</f>
        <v>0.375</v>
      </c>
      <c r="H11" s="1"/>
      <c r="I11" s="1">
        <f>15/17</f>
        <v>0.8823529411764706</v>
      </c>
      <c r="O11" s="2">
        <f t="shared" si="1"/>
        <v>0.15786764705882353</v>
      </c>
      <c r="P11" s="2">
        <f t="shared" si="0"/>
        <v>0.17155582321729407</v>
      </c>
    </row>
    <row r="12" spans="1:16" ht="15">
      <c r="A12" t="s">
        <v>5</v>
      </c>
      <c r="C12" s="1">
        <f>0.75/5</f>
        <v>0.15</v>
      </c>
      <c r="D12" s="1">
        <f>0.5/5</f>
        <v>0.1</v>
      </c>
      <c r="E12" s="1">
        <f>3.25/4</f>
        <v>0.8125</v>
      </c>
      <c r="F12" s="1">
        <f>2.75/4</f>
        <v>0.6875</v>
      </c>
      <c r="G12" s="1">
        <f>26.2/35</f>
        <v>0.7485714285714286</v>
      </c>
      <c r="H12" s="1"/>
      <c r="I12" s="1">
        <f>15/17</f>
        <v>0.8823529411764706</v>
      </c>
      <c r="O12" s="2">
        <f t="shared" si="1"/>
        <v>0.5062605042016806</v>
      </c>
      <c r="P12" s="2">
        <f t="shared" si="0"/>
        <v>0.5501566608410875</v>
      </c>
    </row>
    <row r="13" spans="1:16" ht="15">
      <c r="A13" t="s">
        <v>6</v>
      </c>
      <c r="C13" s="1">
        <f>1.75/5</f>
        <v>0.35</v>
      </c>
      <c r="D13" s="1">
        <f>0/5</f>
        <v>0</v>
      </c>
      <c r="E13" s="1"/>
      <c r="F13" s="1">
        <f>1.25/4</f>
        <v>0.3125</v>
      </c>
      <c r="G13" s="1">
        <f>28.7/35</f>
        <v>0.82</v>
      </c>
      <c r="H13" s="1"/>
      <c r="I13" s="1">
        <f>13/17</f>
        <v>0.7647058823529411</v>
      </c>
      <c r="O13" s="2">
        <f t="shared" si="1"/>
        <v>0.36011029411764706</v>
      </c>
      <c r="P13" s="2">
        <f t="shared" si="0"/>
        <v>0.39133425440461006</v>
      </c>
    </row>
    <row r="14" spans="1:16" ht="15">
      <c r="A14" t="s">
        <v>7</v>
      </c>
      <c r="C14" s="1">
        <f>1.5/5</f>
        <v>0.3</v>
      </c>
      <c r="D14" s="1">
        <f>1/5</f>
        <v>0.2</v>
      </c>
      <c r="E14" s="1">
        <f>3.25/4</f>
        <v>0.8125</v>
      </c>
      <c r="F14" s="1">
        <f>4/4</f>
        <v>1</v>
      </c>
      <c r="G14" s="1">
        <f>25.6/35</f>
        <v>0.7314285714285714</v>
      </c>
      <c r="H14" s="1"/>
      <c r="I14" s="1">
        <f>17/17</f>
        <v>1</v>
      </c>
      <c r="O14" s="2">
        <f t="shared" si="1"/>
        <v>0.6047321428571428</v>
      </c>
      <c r="P14" s="2">
        <f t="shared" si="0"/>
        <v>0.6571664462393525</v>
      </c>
    </row>
    <row r="15" spans="1:17" ht="15">
      <c r="A15" t="s">
        <v>8</v>
      </c>
      <c r="C15" s="1">
        <f>3/5</f>
        <v>0.6</v>
      </c>
      <c r="D15" s="1">
        <f>4/5</f>
        <v>0.8</v>
      </c>
      <c r="E15" s="1">
        <f>3.75/4</f>
        <v>0.9375</v>
      </c>
      <c r="F15" s="1">
        <f>3.75/4</f>
        <v>0.9375</v>
      </c>
      <c r="G15" s="1">
        <f>27.1/35</f>
        <v>0.7742857142857144</v>
      </c>
      <c r="H15" s="1"/>
      <c r="I15" s="1">
        <f>17/17</f>
        <v>1</v>
      </c>
      <c r="O15" s="2">
        <f t="shared" si="1"/>
        <v>0.8048214285714287</v>
      </c>
      <c r="P15" s="2">
        <f t="shared" si="0"/>
        <v>0.8746048053154473</v>
      </c>
      <c r="Q15" t="s">
        <v>100</v>
      </c>
    </row>
    <row r="16" spans="1:21" ht="15">
      <c r="A16" t="s">
        <v>9</v>
      </c>
      <c r="C16" s="1">
        <f>1.5/5</f>
        <v>0.3</v>
      </c>
      <c r="D16" s="1">
        <f>0/5</f>
        <v>0</v>
      </c>
      <c r="E16" s="1">
        <f>3.25/4</f>
        <v>0.8125</v>
      </c>
      <c r="F16" s="1">
        <f>0.25/4</f>
        <v>0.0625</v>
      </c>
      <c r="G16" s="1">
        <f>32/40</f>
        <v>0.8</v>
      </c>
      <c r="H16" s="1"/>
      <c r="I16" s="1">
        <f>16/17</f>
        <v>0.9411764705882353</v>
      </c>
      <c r="O16" s="2">
        <f t="shared" si="1"/>
        <v>0.43830882352941175</v>
      </c>
      <c r="P16" s="2">
        <f t="shared" si="0"/>
        <v>0.4763131169996693</v>
      </c>
      <c r="U16" s="10"/>
    </row>
    <row r="17" spans="1:16" ht="15">
      <c r="A17" t="s">
        <v>10</v>
      </c>
      <c r="C17" s="1">
        <f>0.75/5</f>
        <v>0.15</v>
      </c>
      <c r="D17" s="1">
        <f>0.5/5</f>
        <v>0.1</v>
      </c>
      <c r="E17" s="1">
        <f>2/4</f>
        <v>0.5</v>
      </c>
      <c r="F17" s="1">
        <f>1/4</f>
        <v>0.25</v>
      </c>
      <c r="G17" s="1">
        <f>25/40</f>
        <v>0.625</v>
      </c>
      <c r="H17" s="1"/>
      <c r="I17" s="1">
        <f>13/17</f>
        <v>0.7647058823529411</v>
      </c>
      <c r="O17" s="2">
        <f t="shared" si="1"/>
        <v>0.356985294117647</v>
      </c>
      <c r="P17" s="2">
        <f t="shared" si="0"/>
        <v>0.387938296096862</v>
      </c>
    </row>
    <row r="18" spans="1:16" ht="15">
      <c r="A18" t="s">
        <v>11</v>
      </c>
      <c r="C18" s="1">
        <f>0.75/5</f>
        <v>0.15</v>
      </c>
      <c r="D18" s="1">
        <f>1/5</f>
        <v>0.2</v>
      </c>
      <c r="E18" s="1">
        <f>3/4</f>
        <v>0.75</v>
      </c>
      <c r="F18" s="1">
        <f>2.5/4</f>
        <v>0.625</v>
      </c>
      <c r="G18" s="1">
        <f>0.69</f>
        <v>0.69</v>
      </c>
      <c r="H18" s="1"/>
      <c r="I18" s="1">
        <f>15/17</f>
        <v>0.8823529411764706</v>
      </c>
      <c r="O18" s="2">
        <f t="shared" si="1"/>
        <v>0.4928676470588235</v>
      </c>
      <c r="P18" s="2">
        <f t="shared" si="0"/>
        <v>0.5356025538078818</v>
      </c>
    </row>
    <row r="19" spans="1:16" ht="15">
      <c r="A19" t="s">
        <v>83</v>
      </c>
      <c r="C19" s="1">
        <f>0/5</f>
        <v>0</v>
      </c>
      <c r="D19" s="1">
        <f>0/5</f>
        <v>0</v>
      </c>
      <c r="E19" s="1"/>
      <c r="F19" s="1">
        <f>0/4</f>
        <v>0</v>
      </c>
      <c r="G19" s="14">
        <f>0.65</f>
        <v>0.65</v>
      </c>
      <c r="H19" s="1"/>
      <c r="I19" s="1">
        <f>8/17</f>
        <v>0.47058823529411764</v>
      </c>
      <c r="O19" s="2">
        <f t="shared" si="1"/>
        <v>0.1860294117647059</v>
      </c>
      <c r="P19" s="2">
        <f t="shared" si="0"/>
        <v>0.20215940043770567</v>
      </c>
    </row>
    <row r="20" spans="1:17" ht="15">
      <c r="A20" t="s">
        <v>12</v>
      </c>
      <c r="C20" s="1">
        <f>1.5/5</f>
        <v>0.3</v>
      </c>
      <c r="D20" s="1">
        <f>1.75/5</f>
        <v>0.35</v>
      </c>
      <c r="E20" s="1">
        <f>3.5/4</f>
        <v>0.875</v>
      </c>
      <c r="F20" s="1">
        <f>3.75/4</f>
        <v>0.9375</v>
      </c>
      <c r="G20" s="1">
        <f>37/40</f>
        <v>0.925</v>
      </c>
      <c r="H20" s="1"/>
      <c r="I20" s="1">
        <f>16/17</f>
        <v>0.9411764705882353</v>
      </c>
      <c r="O20" s="2">
        <f t="shared" si="1"/>
        <v>0.6801838235294118</v>
      </c>
      <c r="P20" s="2">
        <f t="shared" si="0"/>
        <v>0.7391602900193661</v>
      </c>
      <c r="Q20" t="s">
        <v>98</v>
      </c>
    </row>
    <row r="21" spans="1:17" ht="15">
      <c r="A21" t="s">
        <v>13</v>
      </c>
      <c r="C21" s="1">
        <f>3/5</f>
        <v>0.6</v>
      </c>
      <c r="D21" s="1">
        <f>1.75/5</f>
        <v>0.35</v>
      </c>
      <c r="E21" s="1">
        <f>3.25/4</f>
        <v>0.8125</v>
      </c>
      <c r="F21" s="1">
        <f>3.5/4</f>
        <v>0.875</v>
      </c>
      <c r="G21" s="1">
        <f>22.7/30</f>
        <v>0.7566666666666666</v>
      </c>
      <c r="H21" s="1"/>
      <c r="I21" s="1">
        <f>14/17</f>
        <v>0.8235294117647058</v>
      </c>
      <c r="O21" s="2">
        <f t="shared" si="1"/>
        <v>0.673468137254902</v>
      </c>
      <c r="P21" s="2">
        <f t="shared" si="0"/>
        <v>0.7318623090285977</v>
      </c>
      <c r="Q21" t="s">
        <v>98</v>
      </c>
    </row>
    <row r="22" spans="1:21" ht="15">
      <c r="A22" t="s">
        <v>14</v>
      </c>
      <c r="C22" s="1">
        <f>0/5</f>
        <v>0</v>
      </c>
      <c r="D22" s="1">
        <f>0/5</f>
        <v>0</v>
      </c>
      <c r="E22" s="1"/>
      <c r="F22" s="1">
        <f>0.25/4</f>
        <v>0.0625</v>
      </c>
      <c r="G22" s="14">
        <f>0.46</f>
        <v>0.46</v>
      </c>
      <c r="H22" s="1"/>
      <c r="I22" s="1">
        <f>10/17</f>
        <v>0.5882352941176471</v>
      </c>
      <c r="O22" s="2">
        <f t="shared" si="1"/>
        <v>0.15378676470588235</v>
      </c>
      <c r="P22" s="2">
        <f t="shared" si="0"/>
        <v>0.16712110119188195</v>
      </c>
      <c r="U22" s="11"/>
    </row>
    <row r="23" spans="1:16" ht="15">
      <c r="A23" t="s">
        <v>15</v>
      </c>
      <c r="C23" s="1"/>
      <c r="D23" s="1"/>
      <c r="E23" s="1">
        <f>3.25/4</f>
        <v>0.8125</v>
      </c>
      <c r="F23" s="1">
        <f>2/4</f>
        <v>0.5</v>
      </c>
      <c r="G23" s="14">
        <f>0.6</f>
        <v>0.6</v>
      </c>
      <c r="H23" s="1"/>
      <c r="I23" s="1">
        <f>9/17</f>
        <v>0.5294117647058824</v>
      </c>
      <c r="O23" s="2">
        <f t="shared" si="1"/>
        <v>0.3733455882352941</v>
      </c>
      <c r="P23" s="2">
        <f t="shared" si="0"/>
        <v>0.4057171366491899</v>
      </c>
    </row>
    <row r="24" spans="1:17" ht="15">
      <c r="A24" t="s">
        <v>16</v>
      </c>
      <c r="C24" s="1">
        <f>5/5</f>
        <v>1</v>
      </c>
      <c r="D24" s="1">
        <f>4.5/5</f>
        <v>0.9</v>
      </c>
      <c r="E24" s="1">
        <f>4/4</f>
        <v>1</v>
      </c>
      <c r="F24" s="1">
        <f>4/4</f>
        <v>1</v>
      </c>
      <c r="G24" s="1">
        <f>30.6/35</f>
        <v>0.8742857142857143</v>
      </c>
      <c r="H24" s="1"/>
      <c r="I24" s="1">
        <f>17/17</f>
        <v>1</v>
      </c>
      <c r="O24" s="2">
        <f t="shared" si="1"/>
        <v>0.9485714285714286</v>
      </c>
      <c r="P24" s="2">
        <f t="shared" si="0"/>
        <v>1.030818887471856</v>
      </c>
      <c r="Q24" t="s">
        <v>100</v>
      </c>
    </row>
    <row r="25" spans="1:16" ht="15">
      <c r="A25" t="s">
        <v>17</v>
      </c>
      <c r="C25" s="1">
        <f>1.75/5</f>
        <v>0.35</v>
      </c>
      <c r="D25" s="1">
        <f>1.5/5</f>
        <v>0.3</v>
      </c>
      <c r="E25" s="1">
        <f>1.5/4</f>
        <v>0.375</v>
      </c>
      <c r="F25" s="1">
        <f>3.5/4</f>
        <v>0.875</v>
      </c>
      <c r="G25" s="1">
        <f>30.5/40</f>
        <v>0.7625</v>
      </c>
      <c r="H25" s="1"/>
      <c r="I25" s="1">
        <f>17/17</f>
        <v>1</v>
      </c>
      <c r="O25" s="2">
        <f t="shared" si="1"/>
        <v>0.558125</v>
      </c>
      <c r="P25" s="2">
        <f t="shared" si="0"/>
        <v>0.6065181537637964</v>
      </c>
    </row>
    <row r="26" spans="1:16" ht="15">
      <c r="A26" t="s">
        <v>18</v>
      </c>
      <c r="C26" s="1">
        <f>0/5</f>
        <v>0</v>
      </c>
      <c r="D26" s="1"/>
      <c r="E26" s="1">
        <f>3/4</f>
        <v>0.75</v>
      </c>
      <c r="F26" s="1">
        <f>0.5/4</f>
        <v>0.125</v>
      </c>
      <c r="G26" s="14">
        <f>0.62</f>
        <v>0.62</v>
      </c>
      <c r="H26" s="1"/>
      <c r="I26" s="1">
        <f>11/17</f>
        <v>0.6470588235294118</v>
      </c>
      <c r="O26" s="2">
        <f t="shared" si="1"/>
        <v>0.3186029411764706</v>
      </c>
      <c r="P26" s="2">
        <f t="shared" si="0"/>
        <v>0.34622793758758047</v>
      </c>
    </row>
    <row r="27" spans="1:16" ht="15">
      <c r="A27" t="s">
        <v>19</v>
      </c>
      <c r="C27" s="1">
        <f>1/5</f>
        <v>0.2</v>
      </c>
      <c r="D27" s="1">
        <f>1.5/5</f>
        <v>0.3</v>
      </c>
      <c r="E27" s="1">
        <f>1.5/4</f>
        <v>0.375</v>
      </c>
      <c r="F27" s="1">
        <f>3/4</f>
        <v>0.75</v>
      </c>
      <c r="G27" s="1">
        <f>18.5/40</f>
        <v>0.4625</v>
      </c>
      <c r="H27" s="1"/>
      <c r="I27" s="1">
        <f>11/17</f>
        <v>0.6470588235294118</v>
      </c>
      <c r="O27" s="2">
        <f t="shared" si="1"/>
        <v>0.4167279411764706</v>
      </c>
      <c r="P27" s="2">
        <f t="shared" si="0"/>
        <v>0.4528610284508683</v>
      </c>
    </row>
    <row r="28" spans="3:16" ht="15">
      <c r="C28" s="1"/>
      <c r="D28" s="1"/>
      <c r="E28" s="1"/>
      <c r="F28" s="1"/>
      <c r="G28" s="1"/>
      <c r="H28" s="1"/>
      <c r="I28" s="1"/>
      <c r="O28" s="5">
        <f>AVERAGE(O7:O22,O23:O27)</f>
        <v>0.4499275543550753</v>
      </c>
      <c r="P28" s="2">
        <f t="shared" si="0"/>
        <v>0.4889392691509974</v>
      </c>
    </row>
    <row r="29" spans="1:16" ht="15">
      <c r="A29" t="s">
        <v>21</v>
      </c>
      <c r="C29" s="1"/>
      <c r="D29" s="1"/>
      <c r="E29" s="1"/>
      <c r="F29" s="1"/>
      <c r="G29" s="1"/>
      <c r="H29" s="1"/>
      <c r="I29" s="1"/>
      <c r="O29" s="2"/>
      <c r="P29" s="2"/>
    </row>
    <row r="30" spans="1:16" ht="15">
      <c r="A30" t="s">
        <v>22</v>
      </c>
      <c r="C30" s="1">
        <f>0.5/5</f>
        <v>0.1</v>
      </c>
      <c r="D30" s="1">
        <f>0.5/5</f>
        <v>0.1</v>
      </c>
      <c r="E30" s="1">
        <f>0.25/4</f>
        <v>0.0625</v>
      </c>
      <c r="F30" s="1">
        <f>3.75/4</f>
        <v>0.9375</v>
      </c>
      <c r="G30" s="1">
        <f>19.4/30</f>
        <v>0.6466666666666666</v>
      </c>
      <c r="H30" s="1"/>
      <c r="I30" s="1">
        <f>17/17</f>
        <v>1</v>
      </c>
      <c r="O30" s="2">
        <f>(C30+D30)*$C$3/2+(E30+F30)*$D$3/2+G30*$E$3+I30*$F$3</f>
        <v>0.40166666666666667</v>
      </c>
      <c r="P30" s="2">
        <f t="shared" si="0"/>
        <v>0.4364938411558788</v>
      </c>
    </row>
    <row r="31" spans="1:16" ht="15">
      <c r="A31" t="s">
        <v>23</v>
      </c>
      <c r="C31" s="1">
        <f>0.75/5</f>
        <v>0.15</v>
      </c>
      <c r="D31" s="1">
        <f>1.5/5</f>
        <v>0.3</v>
      </c>
      <c r="E31" s="1">
        <f>2.25/4</f>
        <v>0.5625</v>
      </c>
      <c r="F31" s="1">
        <f>2/4</f>
        <v>0.5</v>
      </c>
      <c r="G31" s="1">
        <f>31.1/35</f>
        <v>0.8885714285714286</v>
      </c>
      <c r="H31" s="1"/>
      <c r="I31" s="1">
        <f>17/17</f>
        <v>1</v>
      </c>
      <c r="O31" s="2">
        <f aca="true" t="shared" si="2" ref="O31:O51">(C31+D31)*$C$3/2+(E31+F31)*$D$3/2+G31*$E$3+I31*$F$3</f>
        <v>0.5215178571428571</v>
      </c>
      <c r="P31" s="2">
        <f t="shared" si="0"/>
        <v>0.5667369278730339</v>
      </c>
    </row>
    <row r="32" spans="1:16" ht="15">
      <c r="A32" t="s">
        <v>24</v>
      </c>
      <c r="C32" s="1">
        <f>0/5</f>
        <v>0</v>
      </c>
      <c r="D32" s="1">
        <f>1/5</f>
        <v>0.2</v>
      </c>
      <c r="E32" s="1">
        <f>1.25/4</f>
        <v>0.3125</v>
      </c>
      <c r="F32" s="1">
        <f>1.5/4</f>
        <v>0.375</v>
      </c>
      <c r="G32" s="1">
        <f>19.7/35</f>
        <v>0.5628571428571428</v>
      </c>
      <c r="H32" s="1"/>
      <c r="I32" s="1">
        <f>16/17</f>
        <v>0.9411764705882353</v>
      </c>
      <c r="O32" s="2">
        <f t="shared" si="2"/>
        <v>0.3308981092436975</v>
      </c>
      <c r="P32" s="2">
        <f t="shared" si="0"/>
        <v>0.3595891785933588</v>
      </c>
    </row>
    <row r="33" spans="1:17" ht="15">
      <c r="A33" t="s">
        <v>25</v>
      </c>
      <c r="C33" s="1">
        <f>2.75/5</f>
        <v>0.55</v>
      </c>
      <c r="D33" s="1">
        <f>2.5/5</f>
        <v>0.5</v>
      </c>
      <c r="E33" s="1">
        <f>3.75/4</f>
        <v>0.9375</v>
      </c>
      <c r="F33" s="1">
        <f>4/4</f>
        <v>1</v>
      </c>
      <c r="G33" s="1">
        <f>33.2/35</f>
        <v>0.9485714285714286</v>
      </c>
      <c r="H33" s="1"/>
      <c r="I33" s="1">
        <f>17/17</f>
        <v>1</v>
      </c>
      <c r="O33" s="2">
        <f t="shared" si="2"/>
        <v>0.7877678571428572</v>
      </c>
      <c r="P33" s="2">
        <f t="shared" si="0"/>
        <v>0.8560725756931652</v>
      </c>
      <c r="Q33" t="s">
        <v>100</v>
      </c>
    </row>
    <row r="34" spans="1:16" ht="15">
      <c r="A34" t="s">
        <v>26</v>
      </c>
      <c r="C34" s="1"/>
      <c r="D34" s="1"/>
      <c r="E34" s="1"/>
      <c r="F34" s="1"/>
      <c r="G34" s="1">
        <f>19.9/30</f>
        <v>0.6633333333333333</v>
      </c>
      <c r="H34" s="1"/>
      <c r="I34" s="1">
        <f>6/17</f>
        <v>0.35294117647058826</v>
      </c>
      <c r="O34" s="2">
        <f t="shared" si="2"/>
        <v>0.18348039215686274</v>
      </c>
      <c r="P34" s="2">
        <f t="shared" si="0"/>
        <v>0.19938936385726805</v>
      </c>
    </row>
    <row r="35" spans="1:16" ht="15">
      <c r="A35" t="s">
        <v>27</v>
      </c>
      <c r="C35" s="1">
        <f>0/5</f>
        <v>0</v>
      </c>
      <c r="D35" s="1">
        <f>0.5/5</f>
        <v>0.1</v>
      </c>
      <c r="E35" s="1">
        <f>0.5/4</f>
        <v>0.125</v>
      </c>
      <c r="F35" s="1">
        <f>2/4</f>
        <v>0.5</v>
      </c>
      <c r="G35" s="1">
        <f>19.9/30</f>
        <v>0.6633333333333333</v>
      </c>
      <c r="H35" s="1"/>
      <c r="I35" s="1">
        <f>16/17</f>
        <v>0.9411764705882353</v>
      </c>
      <c r="O35" s="2">
        <f t="shared" si="2"/>
        <v>0.3266421568627451</v>
      </c>
      <c r="P35" s="2">
        <f t="shared" si="0"/>
        <v>0.3549642068028068</v>
      </c>
    </row>
    <row r="36" spans="1:17" ht="15">
      <c r="A36" t="s">
        <v>64</v>
      </c>
      <c r="C36" s="1">
        <f>2/5</f>
        <v>0.4</v>
      </c>
      <c r="D36" s="1">
        <f>2.25/5</f>
        <v>0.45</v>
      </c>
      <c r="E36" s="1">
        <f>3/4</f>
        <v>0.75</v>
      </c>
      <c r="F36" s="1">
        <f>3.5/4</f>
        <v>0.875</v>
      </c>
      <c r="G36" s="1">
        <f>22.1/30</f>
        <v>0.7366666666666667</v>
      </c>
      <c r="H36" s="1"/>
      <c r="I36" s="1">
        <f>16/17</f>
        <v>0.9411764705882353</v>
      </c>
      <c r="O36" s="2">
        <f t="shared" si="2"/>
        <v>0.6449754901960785</v>
      </c>
      <c r="P36" s="2">
        <f t="shared" si="0"/>
        <v>0.7008991597520717</v>
      </c>
      <c r="Q36" t="s">
        <v>98</v>
      </c>
    </row>
    <row r="37" spans="1:16" ht="15">
      <c r="A37" t="s">
        <v>114</v>
      </c>
      <c r="C37" s="1"/>
      <c r="D37" s="1">
        <f>0/5</f>
        <v>0</v>
      </c>
      <c r="E37" s="1"/>
      <c r="F37" s="1"/>
      <c r="G37" s="14">
        <f>0.57</f>
        <v>0.57</v>
      </c>
      <c r="H37" s="1"/>
      <c r="I37" s="1">
        <f>8/17</f>
        <v>0.47058823529411764</v>
      </c>
      <c r="O37" s="2">
        <f t="shared" si="2"/>
        <v>0.16602941176470587</v>
      </c>
      <c r="P37" s="2">
        <f t="shared" si="0"/>
        <v>0.18042526726811833</v>
      </c>
    </row>
    <row r="38" spans="1:16" ht="15">
      <c r="A38" t="s">
        <v>28</v>
      </c>
      <c r="C38" s="1">
        <f>0.5/5</f>
        <v>0.1</v>
      </c>
      <c r="D38" s="1">
        <f>2/5</f>
        <v>0.4</v>
      </c>
      <c r="E38" s="1">
        <f>2/4</f>
        <v>0.5</v>
      </c>
      <c r="F38" s="1">
        <f>3.5/4</f>
        <v>0.875</v>
      </c>
      <c r="G38" s="1">
        <f>21.5/30</f>
        <v>0.7166666666666667</v>
      </c>
      <c r="H38" s="1"/>
      <c r="I38" s="1">
        <f>17/17</f>
        <v>1</v>
      </c>
      <c r="O38" s="2">
        <f t="shared" si="2"/>
        <v>0.5354166666666668</v>
      </c>
      <c r="P38" s="2">
        <f t="shared" si="0"/>
        <v>0.5818408567274942</v>
      </c>
    </row>
    <row r="39" spans="1:16" ht="15">
      <c r="A39" t="s">
        <v>109</v>
      </c>
      <c r="C39" s="1">
        <f>0.75/5</f>
        <v>0.15</v>
      </c>
      <c r="D39" s="1"/>
      <c r="E39" s="1"/>
      <c r="F39" s="1">
        <f>2.75/4</f>
        <v>0.6875</v>
      </c>
      <c r="G39" s="1">
        <f>25.4/35</f>
        <v>0.7257142857142856</v>
      </c>
      <c r="H39" s="1"/>
      <c r="I39" s="1">
        <f>8/17</f>
        <v>0.47058823529411764</v>
      </c>
      <c r="O39" s="2">
        <f t="shared" si="2"/>
        <v>0.33808298319327734</v>
      </c>
      <c r="P39" s="2">
        <f t="shared" si="0"/>
        <v>0.36739702895470217</v>
      </c>
    </row>
    <row r="40" spans="1:16" ht="15">
      <c r="A40" t="s">
        <v>29</v>
      </c>
      <c r="C40" s="1">
        <f>0/5</f>
        <v>0</v>
      </c>
      <c r="D40" s="1">
        <f>0.5/5</f>
        <v>0.1</v>
      </c>
      <c r="E40" s="1">
        <f>1/4</f>
        <v>0.25</v>
      </c>
      <c r="F40" s="1">
        <f>2/4</f>
        <v>0.5</v>
      </c>
      <c r="G40" s="1">
        <f>22.2/30</f>
        <v>0.74</v>
      </c>
      <c r="H40" s="1"/>
      <c r="I40" s="1">
        <f>16/17</f>
        <v>0.9411764705882353</v>
      </c>
      <c r="O40" s="2">
        <f t="shared" si="2"/>
        <v>0.36455882352941177</v>
      </c>
      <c r="P40" s="2">
        <f t="shared" si="0"/>
        <v>0.39616850093681605</v>
      </c>
    </row>
    <row r="41" spans="1:16" ht="15">
      <c r="A41" t="s">
        <v>108</v>
      </c>
      <c r="C41" s="1">
        <f>0/5</f>
        <v>0</v>
      </c>
      <c r="D41" s="1"/>
      <c r="E41" s="1">
        <f>0.75/4</f>
        <v>0.1875</v>
      </c>
      <c r="F41" s="1"/>
      <c r="G41" s="14">
        <f>0.44</f>
        <v>0.44</v>
      </c>
      <c r="H41" s="1"/>
      <c r="I41" s="1">
        <f>12/17</f>
        <v>0.7058823529411765</v>
      </c>
      <c r="O41" s="2">
        <f t="shared" si="2"/>
        <v>0.17341911764705883</v>
      </c>
      <c r="P41" s="2">
        <f t="shared" si="0"/>
        <v>0.18845570985467544</v>
      </c>
    </row>
    <row r="42" spans="1:16" ht="15">
      <c r="A42" t="s">
        <v>30</v>
      </c>
      <c r="C42" s="1">
        <f>1.5/5</f>
        <v>0.3</v>
      </c>
      <c r="D42" s="1">
        <f>0.5/5</f>
        <v>0.1</v>
      </c>
      <c r="E42" s="1">
        <f>2.25/4</f>
        <v>0.5625</v>
      </c>
      <c r="F42" s="1">
        <f>2.5/4</f>
        <v>0.625</v>
      </c>
      <c r="G42" s="1">
        <f>21.2/30</f>
        <v>0.7066666666666667</v>
      </c>
      <c r="H42" s="1"/>
      <c r="I42" s="1">
        <f>16/17</f>
        <v>0.9411764705882353</v>
      </c>
      <c r="O42" s="2">
        <f t="shared" si="2"/>
        <v>0.48185049019607845</v>
      </c>
      <c r="P42" s="2">
        <f t="shared" si="0"/>
        <v>0.5236301360876251</v>
      </c>
    </row>
    <row r="43" spans="1:16" ht="15">
      <c r="A43" t="s">
        <v>31</v>
      </c>
      <c r="C43" s="1">
        <f>1.75/5</f>
        <v>0.35</v>
      </c>
      <c r="D43" s="1">
        <f>0.25/5</f>
        <v>0.05</v>
      </c>
      <c r="E43" s="1">
        <f>2.25/4</f>
        <v>0.5625</v>
      </c>
      <c r="F43" s="1">
        <f>3/4</f>
        <v>0.75</v>
      </c>
      <c r="G43" s="1">
        <f>24.9/35</f>
        <v>0.7114285714285714</v>
      </c>
      <c r="H43" s="1"/>
      <c r="I43" s="1">
        <f>16/17</f>
        <v>0.9411764705882353</v>
      </c>
      <c r="O43" s="2">
        <f t="shared" si="2"/>
        <v>0.5017909663865545</v>
      </c>
      <c r="P43" s="2">
        <f t="shared" si="0"/>
        <v>0.5452995843370647</v>
      </c>
    </row>
    <row r="44" spans="1:16" ht="15">
      <c r="A44" t="s">
        <v>32</v>
      </c>
      <c r="C44" s="1">
        <f>1.25/5</f>
        <v>0.25</v>
      </c>
      <c r="D44" s="1">
        <f>1.25/5</f>
        <v>0.25</v>
      </c>
      <c r="E44" s="1">
        <f>3.5/4</f>
        <v>0.875</v>
      </c>
      <c r="F44" s="1">
        <f>3.75/4</f>
        <v>0.9375</v>
      </c>
      <c r="G44" s="1">
        <f>22.5/35</f>
        <v>0.6428571428571429</v>
      </c>
      <c r="H44" s="1"/>
      <c r="I44" s="1">
        <f>15/17</f>
        <v>0.8823529411764706</v>
      </c>
      <c r="O44" s="2">
        <f t="shared" si="2"/>
        <v>0.5767069327731091</v>
      </c>
      <c r="P44" s="2">
        <f t="shared" si="0"/>
        <v>0.62671126383575</v>
      </c>
    </row>
    <row r="45" spans="1:16" ht="15">
      <c r="A45" t="s">
        <v>81</v>
      </c>
      <c r="C45" s="1">
        <f>0.75/5</f>
        <v>0.15</v>
      </c>
      <c r="D45" s="1">
        <f>0.25/5</f>
        <v>0.05</v>
      </c>
      <c r="E45" s="1">
        <f>0.25/4</f>
        <v>0.0625</v>
      </c>
      <c r="F45" s="1">
        <f>1/4</f>
        <v>0.25</v>
      </c>
      <c r="G45" s="1">
        <f>20/35</f>
        <v>0.5714285714285714</v>
      </c>
      <c r="H45" s="1"/>
      <c r="I45" s="1">
        <f>15/17</f>
        <v>0.8823529411764706</v>
      </c>
      <c r="O45" s="2">
        <f t="shared" si="2"/>
        <v>0.27384978991596637</v>
      </c>
      <c r="P45" s="2">
        <f t="shared" si="0"/>
        <v>0.2975943901248563</v>
      </c>
    </row>
    <row r="46" spans="1:16" ht="15">
      <c r="A46" t="s">
        <v>33</v>
      </c>
      <c r="C46" s="1">
        <f>0/5</f>
        <v>0</v>
      </c>
      <c r="D46" s="1">
        <f>0/5</f>
        <v>0</v>
      </c>
      <c r="E46" s="1">
        <f>1/4</f>
        <v>0.25</v>
      </c>
      <c r="F46" s="1">
        <f>1.5/4</f>
        <v>0.375</v>
      </c>
      <c r="G46" s="1">
        <f>15.3/35</f>
        <v>0.43714285714285717</v>
      </c>
      <c r="H46" s="1"/>
      <c r="I46" s="1">
        <f>16/17</f>
        <v>0.9411764705882353</v>
      </c>
      <c r="O46" s="2">
        <f t="shared" si="2"/>
        <v>0.25009453781512603</v>
      </c>
      <c r="P46" s="2">
        <f t="shared" si="0"/>
        <v>0.27177939949301716</v>
      </c>
    </row>
    <row r="47" spans="1:17" ht="15">
      <c r="A47" t="s">
        <v>34</v>
      </c>
      <c r="C47" s="1">
        <f>1.75/5</f>
        <v>0.35</v>
      </c>
      <c r="D47" s="1">
        <f>2.75/5</f>
        <v>0.55</v>
      </c>
      <c r="E47" s="1">
        <f>3.75/4</f>
        <v>0.9375</v>
      </c>
      <c r="F47" s="1">
        <f>3.75/4</f>
        <v>0.9375</v>
      </c>
      <c r="G47" s="1">
        <f>23.5/30</f>
        <v>0.7833333333333333</v>
      </c>
      <c r="H47" s="1"/>
      <c r="I47" s="1">
        <f>17/17</f>
        <v>1</v>
      </c>
      <c r="O47" s="2">
        <f t="shared" si="2"/>
        <v>0.7070833333333334</v>
      </c>
      <c r="P47" s="2">
        <f t="shared" si="0"/>
        <v>0.7683921664331186</v>
      </c>
      <c r="Q47" t="s">
        <v>98</v>
      </c>
    </row>
    <row r="48" spans="1:16" ht="15">
      <c r="A48" t="s">
        <v>35</v>
      </c>
      <c r="C48" s="1">
        <f>0.5/5</f>
        <v>0.1</v>
      </c>
      <c r="D48" s="1">
        <f>0.5/5</f>
        <v>0.1</v>
      </c>
      <c r="E48" s="1">
        <f>1.5/4</f>
        <v>0.375</v>
      </c>
      <c r="F48" s="1">
        <f>2.25/4</f>
        <v>0.5625</v>
      </c>
      <c r="G48" s="1">
        <f>18.3/30</f>
        <v>0.61</v>
      </c>
      <c r="H48" s="1"/>
      <c r="I48" s="1">
        <f>16/17</f>
        <v>0.9411764705882353</v>
      </c>
      <c r="O48" s="2">
        <f t="shared" si="2"/>
        <v>0.38018382352941177</v>
      </c>
      <c r="P48" s="2">
        <f t="shared" si="0"/>
        <v>0.4131482924755561</v>
      </c>
    </row>
    <row r="49" spans="1:16" ht="15">
      <c r="A49" t="s">
        <v>36</v>
      </c>
      <c r="C49" s="1">
        <f>0/5</f>
        <v>0</v>
      </c>
      <c r="D49" s="1">
        <f>1/5</f>
        <v>0.2</v>
      </c>
      <c r="E49" s="1">
        <f>1/4</f>
        <v>0.25</v>
      </c>
      <c r="F49" s="1">
        <f>4/4</f>
        <v>1</v>
      </c>
      <c r="G49" s="1">
        <f>16.9/35</f>
        <v>0.4828571428571428</v>
      </c>
      <c r="H49" s="1"/>
      <c r="I49" s="1">
        <f>14/17</f>
        <v>0.8235294117647058</v>
      </c>
      <c r="O49" s="2">
        <f t="shared" si="2"/>
        <v>0.389390756302521</v>
      </c>
      <c r="P49" s="2">
        <f t="shared" si="0"/>
        <v>0.42315352762426583</v>
      </c>
    </row>
    <row r="50" spans="1:16" ht="15">
      <c r="A50" t="s">
        <v>37</v>
      </c>
      <c r="C50" s="1">
        <f>0/5</f>
        <v>0</v>
      </c>
      <c r="D50" s="1"/>
      <c r="E50" s="1">
        <f>0/4</f>
        <v>0</v>
      </c>
      <c r="F50" s="1">
        <f>4/4</f>
        <v>1</v>
      </c>
      <c r="G50" s="1">
        <f>15.9/35</f>
        <v>0.4542857142857143</v>
      </c>
      <c r="H50" s="1"/>
      <c r="I50" s="1">
        <f>11/17</f>
        <v>0.6470588235294118</v>
      </c>
      <c r="O50" s="2">
        <f t="shared" si="2"/>
        <v>0.29592436974789915</v>
      </c>
      <c r="P50" s="2">
        <f t="shared" si="0"/>
        <v>0.32158298301135196</v>
      </c>
    </row>
    <row r="51" spans="1:16" ht="15">
      <c r="A51" t="s">
        <v>107</v>
      </c>
      <c r="C51" s="1">
        <f>0.5/5</f>
        <v>0.1</v>
      </c>
      <c r="D51" s="1">
        <f>0.25/5</f>
        <v>0.05</v>
      </c>
      <c r="E51" s="1">
        <f>0/4</f>
        <v>0</v>
      </c>
      <c r="F51" s="1">
        <f>0.5/4</f>
        <v>0.125</v>
      </c>
      <c r="G51" s="1">
        <f>22.8/35</f>
        <v>0.6514285714285715</v>
      </c>
      <c r="H51" s="1"/>
      <c r="I51" s="1">
        <f>11/17</f>
        <v>0.6470588235294118</v>
      </c>
      <c r="O51" s="2">
        <f t="shared" si="2"/>
        <v>0.24396008403361347</v>
      </c>
      <c r="P51" s="2">
        <f t="shared" si="0"/>
        <v>0.2651130477225135</v>
      </c>
    </row>
    <row r="52" spans="3:16" ht="15">
      <c r="C52" s="1"/>
      <c r="D52" s="1"/>
      <c r="E52" s="1"/>
      <c r="F52" s="1"/>
      <c r="G52" s="1"/>
      <c r="H52" s="1"/>
      <c r="I52" s="1"/>
      <c r="O52" s="12">
        <f>AVERAGE(O30:O46,O47:O51)</f>
        <v>0.40342230073847724</v>
      </c>
      <c r="P52" s="2">
        <f t="shared" si="0"/>
        <v>0.43840170039156856</v>
      </c>
    </row>
    <row r="53" spans="1:16" ht="15">
      <c r="A53" t="s">
        <v>38</v>
      </c>
      <c r="C53" s="1"/>
      <c r="D53" s="1"/>
      <c r="E53" s="1"/>
      <c r="F53" s="1"/>
      <c r="G53" s="1"/>
      <c r="H53" s="1"/>
      <c r="I53" s="1"/>
      <c r="O53" s="2"/>
      <c r="P53" s="2"/>
    </row>
    <row r="54" spans="1:16" ht="15">
      <c r="A54" t="s">
        <v>39</v>
      </c>
      <c r="C54" s="1">
        <f>0/5</f>
        <v>0</v>
      </c>
      <c r="D54" s="1">
        <f>0.25/5</f>
        <v>0.05</v>
      </c>
      <c r="E54" s="1">
        <f>1.75/4</f>
        <v>0.4375</v>
      </c>
      <c r="F54" s="1">
        <f>3/4</f>
        <v>0.75</v>
      </c>
      <c r="G54" s="1">
        <f>28.5/40</f>
        <v>0.7125</v>
      </c>
      <c r="H54" s="1"/>
      <c r="I54" s="1">
        <f>15/17</f>
        <v>0.8823529411764706</v>
      </c>
      <c r="O54" s="2">
        <f>(C54+D54)*$C$3/2+(E54+F54)*$D$3/2+G54*$E$3+I54*$F$3</f>
        <v>0.41036764705882356</v>
      </c>
      <c r="P54" s="2">
        <f t="shared" si="0"/>
        <v>0.4459492544833341</v>
      </c>
    </row>
    <row r="55" spans="1:16" ht="15">
      <c r="A55" t="s">
        <v>112</v>
      </c>
      <c r="C55" s="1">
        <f>0.75/5</f>
        <v>0.15</v>
      </c>
      <c r="D55" s="1"/>
      <c r="E55" s="1">
        <f>0/4</f>
        <v>0</v>
      </c>
      <c r="F55" s="1"/>
      <c r="G55" s="1">
        <f>20.5/40</f>
        <v>0.5125</v>
      </c>
      <c r="H55" s="1"/>
      <c r="I55" s="1">
        <f>10/17</f>
        <v>0.5882352941176471</v>
      </c>
      <c r="O55" s="2">
        <f aca="true" t="shared" si="3" ref="O55:O75">(C55+D55)*$C$3/2+(E55+F55)*$D$3/2+G55*$E$3+I55*$F$3</f>
        <v>0.18753676470588235</v>
      </c>
      <c r="P55" s="2">
        <f t="shared" si="0"/>
        <v>0.20379745091556056</v>
      </c>
    </row>
    <row r="56" spans="1:16" ht="15">
      <c r="A56" t="s">
        <v>40</v>
      </c>
      <c r="C56" s="1">
        <f>0.25/5</f>
        <v>0.05</v>
      </c>
      <c r="D56" s="1">
        <f>0.5/5</f>
        <v>0.1</v>
      </c>
      <c r="E56" s="1">
        <f>3.25/4</f>
        <v>0.8125</v>
      </c>
      <c r="F56" s="1">
        <f>3/4</f>
        <v>0.75</v>
      </c>
      <c r="G56" s="1">
        <f>25.2/35</f>
        <v>0.72</v>
      </c>
      <c r="H56" s="1"/>
      <c r="I56" s="1">
        <f>16/17</f>
        <v>0.9411764705882353</v>
      </c>
      <c r="O56" s="2">
        <f t="shared" si="3"/>
        <v>0.4914338235294118</v>
      </c>
      <c r="P56" s="2">
        <f t="shared" si="0"/>
        <v>0.5340444082313857</v>
      </c>
    </row>
    <row r="57" spans="1:16" ht="15">
      <c r="A57" t="s">
        <v>41</v>
      </c>
      <c r="C57" s="1">
        <f>1.75/5</f>
        <v>0.35</v>
      </c>
      <c r="D57" s="1">
        <f>0.5/5</f>
        <v>0.1</v>
      </c>
      <c r="E57" s="1">
        <f>1.5/4</f>
        <v>0.375</v>
      </c>
      <c r="F57" s="1"/>
      <c r="G57" s="1">
        <f>20/25</f>
        <v>0.8</v>
      </c>
      <c r="H57" s="1"/>
      <c r="I57" s="1">
        <f>15/17</f>
        <v>0.8823529411764706</v>
      </c>
      <c r="O57" s="2">
        <f t="shared" si="3"/>
        <v>0.39036764705882354</v>
      </c>
      <c r="P57" s="2">
        <f t="shared" si="0"/>
        <v>0.4242151213137468</v>
      </c>
    </row>
    <row r="58" spans="1:16" ht="15">
      <c r="A58" t="s">
        <v>42</v>
      </c>
      <c r="C58" s="1">
        <f>0/5</f>
        <v>0</v>
      </c>
      <c r="D58" s="1">
        <f>0/5</f>
        <v>0</v>
      </c>
      <c r="E58" s="1">
        <f>3.25/4</f>
        <v>0.8125</v>
      </c>
      <c r="F58" s="1"/>
      <c r="G58" s="14">
        <f>0.75</f>
        <v>0.75</v>
      </c>
      <c r="H58" s="1"/>
      <c r="I58" s="1">
        <f>9/17</f>
        <v>0.5294117647058824</v>
      </c>
      <c r="O58" s="2">
        <f t="shared" si="3"/>
        <v>0.33584558823529415</v>
      </c>
      <c r="P58" s="2">
        <f t="shared" si="0"/>
        <v>0.3649656369562137</v>
      </c>
    </row>
    <row r="59" spans="1:16" ht="15">
      <c r="A59" t="s">
        <v>43</v>
      </c>
      <c r="C59" s="1">
        <f>0/5</f>
        <v>0</v>
      </c>
      <c r="D59" s="1">
        <f>0/5</f>
        <v>0</v>
      </c>
      <c r="E59" s="1">
        <f>0/4</f>
        <v>0</v>
      </c>
      <c r="F59" s="1"/>
      <c r="G59" s="1">
        <f>25.5/40</f>
        <v>0.6375</v>
      </c>
      <c r="H59" s="1"/>
      <c r="I59" s="1">
        <f>16/17</f>
        <v>0.9411764705882353</v>
      </c>
      <c r="O59" s="2">
        <f t="shared" si="3"/>
        <v>0.20643382352941175</v>
      </c>
      <c r="P59" s="2">
        <f t="shared" si="0"/>
        <v>0.22433301056476626</v>
      </c>
    </row>
    <row r="60" spans="1:16" ht="15">
      <c r="A60" t="s">
        <v>44</v>
      </c>
      <c r="C60" s="1">
        <f>2.25/5</f>
        <v>0.45</v>
      </c>
      <c r="D60" s="1"/>
      <c r="E60" s="1"/>
      <c r="F60" s="1"/>
      <c r="G60" s="1">
        <f>33/40</f>
        <v>0.825</v>
      </c>
      <c r="H60" s="1"/>
      <c r="I60" s="1">
        <f>9/17</f>
        <v>0.5294117647058824</v>
      </c>
      <c r="O60" s="2">
        <f t="shared" si="3"/>
        <v>0.32272058823529415</v>
      </c>
      <c r="P60" s="2">
        <f t="shared" si="0"/>
        <v>0.35070261206367204</v>
      </c>
    </row>
    <row r="61" spans="1:16" ht="15">
      <c r="A61" t="s">
        <v>111</v>
      </c>
      <c r="C61" s="1">
        <f>0.5/5</f>
        <v>0.1</v>
      </c>
      <c r="D61" s="1"/>
      <c r="E61" s="1"/>
      <c r="F61" s="1"/>
      <c r="G61" s="1">
        <f>0.5</f>
        <v>0.5</v>
      </c>
      <c r="H61" s="1"/>
      <c r="I61" s="1">
        <f>10/17</f>
        <v>0.5882352941176471</v>
      </c>
      <c r="O61" s="2">
        <f t="shared" si="3"/>
        <v>0.17441176470588238</v>
      </c>
      <c r="P61" s="2">
        <f t="shared" si="0"/>
        <v>0.18953442602301893</v>
      </c>
    </row>
    <row r="62" spans="1:16" ht="15">
      <c r="A62" t="s">
        <v>45</v>
      </c>
      <c r="C62" s="1">
        <f>0.25/5</f>
        <v>0.05</v>
      </c>
      <c r="D62" s="1"/>
      <c r="E62" s="1">
        <f>1/4</f>
        <v>0.25</v>
      </c>
      <c r="F62" s="1">
        <f>3.75/4</f>
        <v>0.9375</v>
      </c>
      <c r="G62" s="1">
        <f>17/25</f>
        <v>0.68</v>
      </c>
      <c r="H62" s="1"/>
      <c r="I62" s="1">
        <f>14/17</f>
        <v>0.8235294117647058</v>
      </c>
      <c r="O62" s="2">
        <f t="shared" si="3"/>
        <v>0.39930147058823534</v>
      </c>
      <c r="P62" s="2">
        <f t="shared" si="0"/>
        <v>0.4339235668288382</v>
      </c>
    </row>
    <row r="63" spans="1:16" ht="15">
      <c r="A63" t="s">
        <v>46</v>
      </c>
      <c r="C63" s="1">
        <f>0.5/5</f>
        <v>0.1</v>
      </c>
      <c r="D63" s="1"/>
      <c r="E63" s="1">
        <f>2.75/4</f>
        <v>0.6875</v>
      </c>
      <c r="F63" s="1">
        <f>3.75/4</f>
        <v>0.9375</v>
      </c>
      <c r="G63" s="1">
        <f>27.1/40</f>
        <v>0.6775</v>
      </c>
      <c r="H63" s="1"/>
      <c r="I63" s="1">
        <f>12/17</f>
        <v>0.7058823529411765</v>
      </c>
      <c r="O63" s="2">
        <f t="shared" si="3"/>
        <v>0.4684191176470588</v>
      </c>
      <c r="P63" s="2">
        <f t="shared" si="0"/>
        <v>0.5090341741060884</v>
      </c>
    </row>
    <row r="64" spans="1:17" ht="15">
      <c r="A64" t="s">
        <v>47</v>
      </c>
      <c r="C64" s="1">
        <f>4/5</f>
        <v>0.8</v>
      </c>
      <c r="D64" s="1">
        <f>4/5</f>
        <v>0.8</v>
      </c>
      <c r="E64" s="1">
        <f>3/4</f>
        <v>0.75</v>
      </c>
      <c r="F64" s="1">
        <f>4/4</f>
        <v>1</v>
      </c>
      <c r="G64" s="1">
        <f>35.5/40</f>
        <v>0.8875</v>
      </c>
      <c r="H64" s="1"/>
      <c r="I64" s="1">
        <f>13/17</f>
        <v>0.7647058823529411</v>
      </c>
      <c r="O64" s="2">
        <f t="shared" si="3"/>
        <v>0.8426102941176471</v>
      </c>
      <c r="P64" s="2">
        <f t="shared" si="0"/>
        <v>0.9156702171209044</v>
      </c>
      <c r="Q64" t="s">
        <v>100</v>
      </c>
    </row>
    <row r="65" spans="1:16" ht="15">
      <c r="A65" t="s">
        <v>113</v>
      </c>
      <c r="C65" s="1">
        <f>1/5</f>
        <v>0.2</v>
      </c>
      <c r="D65" s="1"/>
      <c r="E65" s="1"/>
      <c r="F65" s="1"/>
      <c r="G65" s="1">
        <f>0.8</f>
        <v>0.8</v>
      </c>
      <c r="H65" s="1"/>
      <c r="I65" s="1">
        <f>6/17</f>
        <v>0.35294117647058826</v>
      </c>
      <c r="O65" s="2">
        <f t="shared" si="3"/>
        <v>0.25764705882352945</v>
      </c>
      <c r="P65" s="2">
        <f t="shared" si="0"/>
        <v>0.27998677436115443</v>
      </c>
    </row>
    <row r="66" spans="1:17" ht="15">
      <c r="A66" t="s">
        <v>48</v>
      </c>
      <c r="C66" s="1">
        <f>1.75/5</f>
        <v>0.35</v>
      </c>
      <c r="D66" s="1">
        <f>1/5</f>
        <v>0.2</v>
      </c>
      <c r="E66" s="1">
        <f>4/4</f>
        <v>1</v>
      </c>
      <c r="F66" s="1">
        <f>4/4</f>
        <v>1</v>
      </c>
      <c r="G66" s="1">
        <f>28.3/35</f>
        <v>0.8085714285714286</v>
      </c>
      <c r="H66" s="1"/>
      <c r="I66" s="1">
        <f>15/17</f>
        <v>0.8823529411764706</v>
      </c>
      <c r="O66" s="2">
        <f t="shared" si="3"/>
        <v>0.6562605042016807</v>
      </c>
      <c r="P66" s="2">
        <f t="shared" si="0"/>
        <v>0.7131626596129926</v>
      </c>
      <c r="Q66" t="s">
        <v>98</v>
      </c>
    </row>
    <row r="67" spans="1:16" ht="15">
      <c r="A67" t="s">
        <v>90</v>
      </c>
      <c r="C67" s="1">
        <f>1.25/5</f>
        <v>0.25</v>
      </c>
      <c r="D67" s="1">
        <f>1.75/5</f>
        <v>0.35</v>
      </c>
      <c r="E67" s="1">
        <f>3/4</f>
        <v>0.75</v>
      </c>
      <c r="F67" s="1">
        <f>1.5/4</f>
        <v>0.375</v>
      </c>
      <c r="G67" s="1">
        <f>28.4/35</f>
        <v>0.8114285714285714</v>
      </c>
      <c r="H67" s="1"/>
      <c r="I67" s="1">
        <f>17/17</f>
        <v>1</v>
      </c>
      <c r="O67" s="2">
        <f t="shared" si="3"/>
        <v>0.5416071428571428</v>
      </c>
      <c r="P67" s="2">
        <f t="shared" si="0"/>
        <v>0.5885680884228425</v>
      </c>
    </row>
    <row r="68" spans="1:16" ht="15">
      <c r="A68" t="s">
        <v>49</v>
      </c>
      <c r="C68" s="1">
        <f>0.25/5</f>
        <v>0.05</v>
      </c>
      <c r="D68" s="1">
        <f>0/5</f>
        <v>0</v>
      </c>
      <c r="E68" s="1">
        <f>2/4</f>
        <v>0.5</v>
      </c>
      <c r="F68" s="1">
        <f>2/4</f>
        <v>0.5</v>
      </c>
      <c r="G68" s="1">
        <f>25.6/35</f>
        <v>0.7314285714285714</v>
      </c>
      <c r="H68" s="1"/>
      <c r="I68" s="1">
        <f>16/17</f>
        <v>0.9411764705882353</v>
      </c>
      <c r="O68" s="2">
        <f t="shared" si="3"/>
        <v>0.3899159663865546</v>
      </c>
      <c r="P68" s="2">
        <f t="shared" si="0"/>
        <v>0.42372427691968567</v>
      </c>
    </row>
    <row r="69" spans="1:16" ht="15">
      <c r="A69" t="s">
        <v>50</v>
      </c>
      <c r="C69" s="1">
        <f>0/5</f>
        <v>0</v>
      </c>
      <c r="D69" s="1"/>
      <c r="E69" s="1">
        <f>0/4</f>
        <v>0</v>
      </c>
      <c r="F69" s="1">
        <f>1.5/4</f>
        <v>0.375</v>
      </c>
      <c r="G69" s="14">
        <f>0.71</f>
        <v>0.71</v>
      </c>
      <c r="H69" s="1"/>
      <c r="I69" s="1">
        <f>7/17</f>
        <v>0.4117647058823529</v>
      </c>
      <c r="O69" s="2">
        <f t="shared" si="3"/>
        <v>0.25433823529411764</v>
      </c>
      <c r="P69" s="2">
        <f t="shared" si="0"/>
        <v>0.27639105380000945</v>
      </c>
    </row>
    <row r="70" spans="1:17" ht="15">
      <c r="A70" t="s">
        <v>51</v>
      </c>
      <c r="C70" s="1">
        <f>2.25/5</f>
        <v>0.45</v>
      </c>
      <c r="D70" s="1">
        <f>2.5/5</f>
        <v>0.5</v>
      </c>
      <c r="E70" s="1">
        <f>3.5/4</f>
        <v>0.875</v>
      </c>
      <c r="F70" s="1">
        <f>3.5/4</f>
        <v>0.875</v>
      </c>
      <c r="G70" s="1">
        <f>25.4/30</f>
        <v>0.8466666666666666</v>
      </c>
      <c r="H70" s="1"/>
      <c r="I70" s="1">
        <f>17/17</f>
        <v>1</v>
      </c>
      <c r="O70" s="2">
        <f t="shared" si="3"/>
        <v>0.7141666666666667</v>
      </c>
      <c r="P70" s="2">
        <f t="shared" si="0"/>
        <v>0.7760896719306808</v>
      </c>
      <c r="Q70" t="s">
        <v>98</v>
      </c>
    </row>
    <row r="71" spans="1:21" ht="15">
      <c r="A71" t="s">
        <v>52</v>
      </c>
      <c r="C71" s="1">
        <f>0.75/5</f>
        <v>0.15</v>
      </c>
      <c r="D71" s="1">
        <f>1/5</f>
        <v>0.2</v>
      </c>
      <c r="E71" s="1">
        <f>1.5/4</f>
        <v>0.375</v>
      </c>
      <c r="F71" s="1">
        <f>3/4</f>
        <v>0.75</v>
      </c>
      <c r="G71" s="1">
        <f>33.5/40</f>
        <v>0.8375</v>
      </c>
      <c r="H71" s="1"/>
      <c r="I71" s="1">
        <f>15/17</f>
        <v>0.8823529411764706</v>
      </c>
      <c r="O71" s="2">
        <f t="shared" si="3"/>
        <v>0.49224264705882353</v>
      </c>
      <c r="P71" s="2">
        <f t="shared" si="0"/>
        <v>0.5349233621463322</v>
      </c>
      <c r="U71" s="11"/>
    </row>
    <row r="72" spans="1:16" ht="15">
      <c r="A72" t="s">
        <v>53</v>
      </c>
      <c r="C72" s="1">
        <f>0/5</f>
        <v>0</v>
      </c>
      <c r="D72" s="1">
        <f>0/5</f>
        <v>0</v>
      </c>
      <c r="E72" s="1">
        <f>1/4</f>
        <v>0.25</v>
      </c>
      <c r="F72" s="1"/>
      <c r="G72" s="1">
        <f>22.7/35</f>
        <v>0.6485714285714286</v>
      </c>
      <c r="H72" s="1"/>
      <c r="I72" s="1">
        <f>12/17</f>
        <v>0.7058823529411765</v>
      </c>
      <c r="O72" s="2">
        <f t="shared" si="3"/>
        <v>0.234936974789916</v>
      </c>
      <c r="P72" s="2">
        <f aca="true" t="shared" si="4" ref="P72:P100">O72*0.45/$R$2</f>
        <v>0.25530757482720073</v>
      </c>
    </row>
    <row r="73" spans="1:16" ht="15">
      <c r="A73" t="s">
        <v>110</v>
      </c>
      <c r="C73" s="1">
        <f>0/5</f>
        <v>0</v>
      </c>
      <c r="D73" s="1"/>
      <c r="E73" s="1"/>
      <c r="F73" s="1"/>
      <c r="G73" s="1">
        <f>0.8</f>
        <v>0.8</v>
      </c>
      <c r="H73" s="1"/>
      <c r="I73" s="1">
        <f>13/17</f>
        <v>0.7647058823529411</v>
      </c>
      <c r="O73" s="2">
        <f t="shared" si="3"/>
        <v>0.23823529411764707</v>
      </c>
      <c r="P73" s="2">
        <f t="shared" si="4"/>
        <v>0.25889188040243727</v>
      </c>
    </row>
    <row r="74" spans="1:16" ht="15">
      <c r="A74" t="s">
        <v>54</v>
      </c>
      <c r="C74" s="1">
        <f>0.25/5</f>
        <v>0.05</v>
      </c>
      <c r="D74" s="1">
        <f>1/5</f>
        <v>0.2</v>
      </c>
      <c r="E74" s="1">
        <f>0/4</f>
        <v>0</v>
      </c>
      <c r="F74" s="1">
        <f>0/4</f>
        <v>0</v>
      </c>
      <c r="G74" s="1">
        <f>26.6/40</f>
        <v>0.665</v>
      </c>
      <c r="H74" s="1"/>
      <c r="I74" s="1">
        <f>10/17</f>
        <v>0.5882352941176471</v>
      </c>
      <c r="O74" s="2">
        <f t="shared" si="3"/>
        <v>0.24566176470588236</v>
      </c>
      <c r="P74" s="2">
        <f t="shared" si="4"/>
        <v>0.26696227543967377</v>
      </c>
    </row>
    <row r="75" spans="1:16" ht="15">
      <c r="A75" t="s">
        <v>55</v>
      </c>
      <c r="C75" s="1">
        <f>0.25/5</f>
        <v>0.05</v>
      </c>
      <c r="D75" s="1">
        <f>0.75/5</f>
        <v>0.15</v>
      </c>
      <c r="E75" s="1">
        <f>0.25/4</f>
        <v>0.0625</v>
      </c>
      <c r="F75" s="1">
        <f>1.25/4</f>
        <v>0.3125</v>
      </c>
      <c r="G75" s="1">
        <f>27.5/40</f>
        <v>0.6875</v>
      </c>
      <c r="H75" s="1"/>
      <c r="I75" s="1">
        <f>14/17</f>
        <v>0.8235294117647058</v>
      </c>
      <c r="O75" s="2">
        <f t="shared" si="3"/>
        <v>0.3093014705882353</v>
      </c>
      <c r="P75" s="2">
        <f t="shared" si="4"/>
        <v>0.33611996756569523</v>
      </c>
    </row>
    <row r="76" spans="3:16" ht="15">
      <c r="C76" s="1"/>
      <c r="D76" s="1"/>
      <c r="E76" s="1"/>
      <c r="F76" s="1"/>
      <c r="G76" s="1"/>
      <c r="H76" s="1"/>
      <c r="I76" s="1"/>
      <c r="O76" s="12">
        <f>AVERAGE(O54:O70,O71:O75)</f>
        <v>0.3892619206773618</v>
      </c>
      <c r="P76" s="2">
        <f t="shared" si="4"/>
        <v>0.423013521092556</v>
      </c>
    </row>
    <row r="77" spans="1:16" ht="15">
      <c r="A77" t="s">
        <v>56</v>
      </c>
      <c r="C77" s="1"/>
      <c r="D77" s="1"/>
      <c r="E77" s="1"/>
      <c r="F77" s="1"/>
      <c r="G77" s="1"/>
      <c r="H77" s="1"/>
      <c r="I77" s="1"/>
      <c r="O77" s="2"/>
      <c r="P77" s="2"/>
    </row>
    <row r="78" spans="1:17" ht="15">
      <c r="A78" t="s">
        <v>57</v>
      </c>
      <c r="C78" s="1">
        <f>3/5</f>
        <v>0.6</v>
      </c>
      <c r="D78" s="1">
        <f>2.75/5</f>
        <v>0.55</v>
      </c>
      <c r="E78" s="1">
        <f>4/4</f>
        <v>1</v>
      </c>
      <c r="F78" s="1">
        <f>2.75/4</f>
        <v>0.6875</v>
      </c>
      <c r="G78" s="1">
        <f>32.5/35</f>
        <v>0.9285714285714286</v>
      </c>
      <c r="H78" s="1"/>
      <c r="I78" s="1">
        <f>17/17</f>
        <v>1</v>
      </c>
      <c r="O78" s="2">
        <f>(C78+D78)*$C$3/2+(E78+F78)*$D$3/2+G78*$E$3+I78*$F$3</f>
        <v>0.7652678571428572</v>
      </c>
      <c r="P78" s="2">
        <f t="shared" si="4"/>
        <v>0.8316216758773793</v>
      </c>
      <c r="Q78" t="s">
        <v>98</v>
      </c>
    </row>
    <row r="79" spans="1:16" ht="15">
      <c r="A79" t="s">
        <v>58</v>
      </c>
      <c r="C79" s="1">
        <f>1.75/5</f>
        <v>0.35</v>
      </c>
      <c r="D79" s="1">
        <f>1.75/5</f>
        <v>0.35</v>
      </c>
      <c r="E79" s="1">
        <f>1.5/4</f>
        <v>0.375</v>
      </c>
      <c r="F79" s="1">
        <f>2.5/4</f>
        <v>0.625</v>
      </c>
      <c r="G79" s="1">
        <f>28.3/35</f>
        <v>0.8085714285714286</v>
      </c>
      <c r="H79" s="1"/>
      <c r="I79" s="1">
        <f>17/17</f>
        <v>1</v>
      </c>
      <c r="O79" s="2">
        <f aca="true" t="shared" si="5" ref="O79:O99">(C79+D79)*$C$3/2+(E79+F79)*$D$3/2+G79*$E$3+I79*$F$3</f>
        <v>0.5421428571428571</v>
      </c>
      <c r="P79" s="2">
        <f t="shared" si="4"/>
        <v>0.5891502527041708</v>
      </c>
    </row>
    <row r="80" spans="1:16" ht="15">
      <c r="A80" t="s">
        <v>59</v>
      </c>
      <c r="C80" s="1">
        <f>0.75/5</f>
        <v>0.15</v>
      </c>
      <c r="D80" s="1">
        <f>0.25/5</f>
        <v>0.05</v>
      </c>
      <c r="E80" s="1">
        <f>1.25/4</f>
        <v>0.3125</v>
      </c>
      <c r="F80" s="1">
        <f>0.75/4</f>
        <v>0.1875</v>
      </c>
      <c r="G80" s="1">
        <f>17.5/35</f>
        <v>0.5</v>
      </c>
      <c r="H80" s="1"/>
      <c r="I80" s="1">
        <f>15/17</f>
        <v>0.8823529411764706</v>
      </c>
      <c r="O80" s="2">
        <f t="shared" si="5"/>
        <v>0.28411764705882353</v>
      </c>
      <c r="P80" s="2">
        <f t="shared" si="4"/>
        <v>0.30875253885031406</v>
      </c>
    </row>
    <row r="81" spans="1:16" ht="15">
      <c r="A81" t="s">
        <v>60</v>
      </c>
      <c r="C81" s="1">
        <f aca="true" t="shared" si="6" ref="C81:D83">0/5</f>
        <v>0</v>
      </c>
      <c r="D81" s="1">
        <f t="shared" si="6"/>
        <v>0</v>
      </c>
      <c r="E81" s="1">
        <f>1/4</f>
        <v>0.25</v>
      </c>
      <c r="F81" s="1">
        <f>3.75/4</f>
        <v>0.9375</v>
      </c>
      <c r="G81" s="1">
        <f>18.65/35</f>
        <v>0.5328571428571428</v>
      </c>
      <c r="H81" s="1"/>
      <c r="I81" s="1">
        <f>15/17</f>
        <v>0.8823529411764706</v>
      </c>
      <c r="O81" s="2">
        <f t="shared" si="5"/>
        <v>0.35545693277310925</v>
      </c>
      <c r="P81" s="2">
        <f t="shared" si="4"/>
        <v>0.38627741564719026</v>
      </c>
    </row>
    <row r="82" spans="1:16" ht="15">
      <c r="A82" t="s">
        <v>61</v>
      </c>
      <c r="C82" s="1">
        <f t="shared" si="6"/>
        <v>0</v>
      </c>
      <c r="D82" s="1">
        <f t="shared" si="6"/>
        <v>0</v>
      </c>
      <c r="E82" s="1">
        <f>0/4</f>
        <v>0</v>
      </c>
      <c r="F82" s="1"/>
      <c r="G82" s="1">
        <f>32.5/35</f>
        <v>0.9285714285714286</v>
      </c>
      <c r="H82" s="1"/>
      <c r="I82" s="1">
        <f>11/17</f>
        <v>0.6470588235294118</v>
      </c>
      <c r="O82" s="2">
        <f t="shared" si="5"/>
        <v>0.26449579831932774</v>
      </c>
      <c r="P82" s="2">
        <f t="shared" si="4"/>
        <v>0.28742934517342905</v>
      </c>
    </row>
    <row r="83" spans="1:16" ht="15">
      <c r="A83" t="s">
        <v>62</v>
      </c>
      <c r="C83" s="1">
        <f t="shared" si="6"/>
        <v>0</v>
      </c>
      <c r="D83" s="1">
        <f t="shared" si="6"/>
        <v>0</v>
      </c>
      <c r="E83" s="1">
        <f>0.25/4</f>
        <v>0.0625</v>
      </c>
      <c r="F83" s="1">
        <f>0/4</f>
        <v>0</v>
      </c>
      <c r="G83" s="1">
        <f>19.8/35</f>
        <v>0.5657142857142857</v>
      </c>
      <c r="H83" s="1"/>
      <c r="I83" s="1">
        <f>15/17</f>
        <v>0.8823529411764706</v>
      </c>
      <c r="O83" s="2">
        <f t="shared" si="5"/>
        <v>0.19492121848739496</v>
      </c>
      <c r="P83" s="2">
        <f t="shared" si="4"/>
        <v>0.21182218600916347</v>
      </c>
    </row>
    <row r="84" spans="1:21" ht="15">
      <c r="A84" t="s">
        <v>63</v>
      </c>
      <c r="C84" s="1">
        <f>0.75/5</f>
        <v>0.15</v>
      </c>
      <c r="D84" s="1">
        <f>1/5</f>
        <v>0.2</v>
      </c>
      <c r="E84" s="1">
        <f>0.75/4</f>
        <v>0.1875</v>
      </c>
      <c r="F84" s="1">
        <f>3.5/4</f>
        <v>0.875</v>
      </c>
      <c r="G84" s="1">
        <f>29.9/35</f>
        <v>0.8542857142857142</v>
      </c>
      <c r="H84" s="1"/>
      <c r="I84" s="1">
        <f>14/17</f>
        <v>0.8235294117647058</v>
      </c>
      <c r="O84" s="2">
        <f t="shared" si="5"/>
        <v>0.48412289915966383</v>
      </c>
      <c r="P84" s="2">
        <f t="shared" si="4"/>
        <v>0.5260995780391415</v>
      </c>
      <c r="U84" s="10"/>
    </row>
    <row r="85" spans="1:16" ht="15">
      <c r="A85" t="s">
        <v>65</v>
      </c>
      <c r="C85" s="1">
        <f>0.5/5</f>
        <v>0.1</v>
      </c>
      <c r="D85" s="1">
        <f>0/5</f>
        <v>0</v>
      </c>
      <c r="E85" s="1">
        <f>0.25/4</f>
        <v>0.0625</v>
      </c>
      <c r="F85" s="1">
        <f>2/4</f>
        <v>0.5</v>
      </c>
      <c r="G85" s="1">
        <f>16/35</f>
        <v>0.45714285714285713</v>
      </c>
      <c r="H85" s="1"/>
      <c r="I85" s="1">
        <f>16/17</f>
        <v>0.9411764705882353</v>
      </c>
      <c r="O85" s="2">
        <f t="shared" si="5"/>
        <v>0.26571953781512603</v>
      </c>
      <c r="P85" s="2">
        <f t="shared" si="4"/>
        <v>0.28875919103175723</v>
      </c>
    </row>
    <row r="86" spans="1:17" ht="15">
      <c r="A86" t="s">
        <v>82</v>
      </c>
      <c r="C86" s="1">
        <f>2/5</f>
        <v>0.4</v>
      </c>
      <c r="D86" s="1">
        <f>1.75/5</f>
        <v>0.35</v>
      </c>
      <c r="E86" s="1">
        <f>4/4</f>
        <v>1</v>
      </c>
      <c r="F86" s="1">
        <f>3.75/4</f>
        <v>0.9375</v>
      </c>
      <c r="G86" s="1">
        <f>27.7/35</f>
        <v>0.7914285714285714</v>
      </c>
      <c r="H86" s="1"/>
      <c r="I86" s="1">
        <f>14/17</f>
        <v>0.8235294117647058</v>
      </c>
      <c r="O86" s="2">
        <f t="shared" si="5"/>
        <v>0.679658613445378</v>
      </c>
      <c r="P86" s="2">
        <f t="shared" si="4"/>
        <v>0.7385895407239461</v>
      </c>
      <c r="Q86" t="s">
        <v>98</v>
      </c>
    </row>
    <row r="87" spans="1:16" ht="15">
      <c r="A87" t="s">
        <v>66</v>
      </c>
      <c r="C87" s="1">
        <f>0/5</f>
        <v>0</v>
      </c>
      <c r="D87" s="1">
        <f>0.25/5</f>
        <v>0.05</v>
      </c>
      <c r="E87" s="1">
        <f>0.75/4</f>
        <v>0.1875</v>
      </c>
      <c r="F87" s="1">
        <f>2/4</f>
        <v>0.5</v>
      </c>
      <c r="G87" s="1">
        <f>15.55/35</f>
        <v>0.4442857142857143</v>
      </c>
      <c r="H87" s="1"/>
      <c r="I87" s="1">
        <f>14/17</f>
        <v>0.8235294117647058</v>
      </c>
      <c r="O87" s="2">
        <f t="shared" si="5"/>
        <v>0.2653728991596639</v>
      </c>
      <c r="P87" s="2">
        <f t="shared" si="4"/>
        <v>0.2883824964967802</v>
      </c>
    </row>
    <row r="88" spans="1:16" ht="15">
      <c r="A88" t="s">
        <v>67</v>
      </c>
      <c r="C88" s="1">
        <f>1.25/5</f>
        <v>0.25</v>
      </c>
      <c r="D88" s="1">
        <f>1/5</f>
        <v>0.2</v>
      </c>
      <c r="E88" s="1">
        <f>1.75/4</f>
        <v>0.4375</v>
      </c>
      <c r="F88" s="1">
        <f>2.5/4</f>
        <v>0.625</v>
      </c>
      <c r="G88" s="1">
        <f>27.8/35</f>
        <v>0.7942857142857143</v>
      </c>
      <c r="H88" s="1"/>
      <c r="I88" s="1">
        <f>12/17</f>
        <v>0.7058823529411765</v>
      </c>
      <c r="O88" s="2">
        <f t="shared" si="5"/>
        <v>0.4832405462184874</v>
      </c>
      <c r="P88" s="2">
        <f t="shared" si="4"/>
        <v>0.5251407192228362</v>
      </c>
    </row>
    <row r="89" spans="1:17" ht="15">
      <c r="A89" t="s">
        <v>68</v>
      </c>
      <c r="C89" s="1">
        <f>1.75/5</f>
        <v>0.35</v>
      </c>
      <c r="D89" s="1">
        <f>2/5</f>
        <v>0.4</v>
      </c>
      <c r="E89" s="1">
        <f>2.75/4</f>
        <v>0.6875</v>
      </c>
      <c r="F89" s="1">
        <f>4/4</f>
        <v>1</v>
      </c>
      <c r="G89" s="1">
        <f>30.1/35</f>
        <v>0.86</v>
      </c>
      <c r="H89" s="1"/>
      <c r="I89" s="1">
        <f>17/17</f>
        <v>1</v>
      </c>
      <c r="O89" s="2">
        <f t="shared" si="5"/>
        <v>0.6681250000000001</v>
      </c>
      <c r="P89" s="2">
        <f t="shared" si="4"/>
        <v>0.7260558861965268</v>
      </c>
      <c r="Q89" t="s">
        <v>98</v>
      </c>
    </row>
    <row r="90" spans="1:16" ht="15">
      <c r="A90" t="s">
        <v>69</v>
      </c>
      <c r="C90" s="1">
        <f>0.5/5</f>
        <v>0.1</v>
      </c>
      <c r="D90" s="1">
        <f>0.25/5</f>
        <v>0.05</v>
      </c>
      <c r="E90" s="1">
        <f>2.25/4</f>
        <v>0.5625</v>
      </c>
      <c r="F90" s="1">
        <f>2.5/4</f>
        <v>0.625</v>
      </c>
      <c r="G90" s="1">
        <f>30.2/35</f>
        <v>0.8628571428571429</v>
      </c>
      <c r="H90" s="1"/>
      <c r="I90" s="1">
        <f>14/17</f>
        <v>0.8235294117647058</v>
      </c>
      <c r="O90" s="2">
        <f t="shared" si="5"/>
        <v>0.46501575630252107</v>
      </c>
      <c r="P90" s="2">
        <f t="shared" si="4"/>
        <v>0.505335718671768</v>
      </c>
    </row>
    <row r="91" spans="1:16" ht="15">
      <c r="A91" t="s">
        <v>70</v>
      </c>
      <c r="C91" s="1">
        <f>0.75/5</f>
        <v>0.15</v>
      </c>
      <c r="D91" s="1">
        <f>0/5</f>
        <v>0</v>
      </c>
      <c r="E91" s="1">
        <f>2.25/4</f>
        <v>0.5625</v>
      </c>
      <c r="F91" s="1">
        <f>2.25/4</f>
        <v>0.5625</v>
      </c>
      <c r="G91" s="1">
        <f>17.8/35</f>
        <v>0.5085714285714286</v>
      </c>
      <c r="H91" s="1"/>
      <c r="I91" s="1">
        <f>13/17</f>
        <v>0.7647058823529411</v>
      </c>
      <c r="O91" s="2">
        <f t="shared" si="5"/>
        <v>0.36412815126050413</v>
      </c>
      <c r="P91" s="2">
        <f t="shared" si="4"/>
        <v>0.39570048651457174</v>
      </c>
    </row>
    <row r="92" spans="1:16" ht="15">
      <c r="A92" t="s">
        <v>71</v>
      </c>
      <c r="C92" s="1">
        <f>0.5/5</f>
        <v>0.1</v>
      </c>
      <c r="D92" s="1">
        <f>0/5</f>
        <v>0</v>
      </c>
      <c r="E92" s="1">
        <f>3.25/4</f>
        <v>0.8125</v>
      </c>
      <c r="F92" s="1">
        <f>2/4</f>
        <v>0.5</v>
      </c>
      <c r="G92" s="1">
        <f>18.4/35</f>
        <v>0.5257142857142857</v>
      </c>
      <c r="H92" s="1"/>
      <c r="I92" s="1">
        <f>17/17</f>
        <v>1</v>
      </c>
      <c r="O92" s="2">
        <f t="shared" si="5"/>
        <v>0.39830357142857137</v>
      </c>
      <c r="P92" s="2">
        <f t="shared" si="4"/>
        <v>0.43283914316754035</v>
      </c>
    </row>
    <row r="93" spans="1:16" ht="15">
      <c r="A93" t="s">
        <v>72</v>
      </c>
      <c r="C93" s="1">
        <f>0.25/5</f>
        <v>0.05</v>
      </c>
      <c r="D93" s="1"/>
      <c r="E93" s="1"/>
      <c r="F93" s="1">
        <f>2.75/4</f>
        <v>0.6875</v>
      </c>
      <c r="G93" s="14">
        <f>0.9</f>
        <v>0.9</v>
      </c>
      <c r="H93" s="1"/>
      <c r="I93" s="1">
        <f>11/17</f>
        <v>0.6470588235294118</v>
      </c>
      <c r="O93" s="2">
        <f t="shared" si="5"/>
        <v>0.3704779411764706</v>
      </c>
      <c r="P93" s="2">
        <f t="shared" si="4"/>
        <v>0.4026008454961976</v>
      </c>
    </row>
    <row r="94" spans="1:16" ht="15">
      <c r="A94" t="s">
        <v>73</v>
      </c>
      <c r="C94" s="1">
        <f>0.25/5</f>
        <v>0.05</v>
      </c>
      <c r="D94" s="1">
        <f>0.25/5</f>
        <v>0.05</v>
      </c>
      <c r="E94" s="1">
        <f>0.25/4</f>
        <v>0.0625</v>
      </c>
      <c r="F94" s="1">
        <f>0.25/4</f>
        <v>0.0625</v>
      </c>
      <c r="G94" s="1">
        <f>29.9/35</f>
        <v>0.8542857142857142</v>
      </c>
      <c r="H94" s="1"/>
      <c r="I94" s="1">
        <f>17/17</f>
        <v>1</v>
      </c>
      <c r="O94" s="2">
        <f t="shared" si="5"/>
        <v>0.3023214285714286</v>
      </c>
      <c r="P94" s="2">
        <f t="shared" si="4"/>
        <v>0.32853470942956553</v>
      </c>
    </row>
    <row r="95" spans="1:16" ht="15">
      <c r="A95" t="s">
        <v>74</v>
      </c>
      <c r="C95" s="1">
        <f>1/5</f>
        <v>0.2</v>
      </c>
      <c r="D95" s="1">
        <f>0.25/5</f>
        <v>0.05</v>
      </c>
      <c r="E95" s="1">
        <f>1.25/4</f>
        <v>0.3125</v>
      </c>
      <c r="F95" s="1">
        <f>0/4</f>
        <v>0</v>
      </c>
      <c r="G95" s="1">
        <f>16.3/35</f>
        <v>0.46571428571428575</v>
      </c>
      <c r="H95" s="1"/>
      <c r="I95" s="1">
        <f>15/17</f>
        <v>0.8823529411764706</v>
      </c>
      <c r="O95" s="2">
        <f t="shared" si="5"/>
        <v>0.25742121848739496</v>
      </c>
      <c r="P95" s="2">
        <f t="shared" si="4"/>
        <v>0.2797413521641239</v>
      </c>
    </row>
    <row r="96" spans="1:21" ht="15">
      <c r="A96" t="s">
        <v>75</v>
      </c>
      <c r="C96" s="1">
        <f>0.5/5</f>
        <v>0.1</v>
      </c>
      <c r="D96" s="1">
        <f>2/5</f>
        <v>0.4</v>
      </c>
      <c r="E96" s="1">
        <f>1.5/4</f>
        <v>0.375</v>
      </c>
      <c r="F96" s="1">
        <f>2/4</f>
        <v>0.5</v>
      </c>
      <c r="G96" s="14">
        <f>0.73</f>
        <v>0.73</v>
      </c>
      <c r="H96" s="1"/>
      <c r="I96" s="1">
        <f>13/17</f>
        <v>0.7647058823529411</v>
      </c>
      <c r="O96" s="2">
        <f t="shared" si="5"/>
        <v>0.4519852941176471</v>
      </c>
      <c r="P96" s="2">
        <f t="shared" si="4"/>
        <v>0.4911754286524018</v>
      </c>
      <c r="U96" s="10"/>
    </row>
    <row r="97" spans="1:16" ht="15">
      <c r="A97" t="s">
        <v>76</v>
      </c>
      <c r="C97" s="1">
        <f>3.25/5</f>
        <v>0.65</v>
      </c>
      <c r="D97" s="1">
        <f>1.5/5</f>
        <v>0.3</v>
      </c>
      <c r="E97" s="1">
        <f>3.5/4</f>
        <v>0.875</v>
      </c>
      <c r="F97" s="1">
        <f>2.75/4</f>
        <v>0.6875</v>
      </c>
      <c r="G97" s="1">
        <f>20.6/35</f>
        <v>0.5885714285714286</v>
      </c>
      <c r="H97" s="1"/>
      <c r="I97" s="1">
        <f>16/17</f>
        <v>0.9411764705882353</v>
      </c>
      <c r="O97" s="2">
        <f t="shared" si="5"/>
        <v>0.618576680672269</v>
      </c>
      <c r="P97" s="2">
        <f t="shared" si="4"/>
        <v>0.6722113976666194</v>
      </c>
    </row>
    <row r="98" spans="1:16" ht="15">
      <c r="A98" t="s">
        <v>77</v>
      </c>
      <c r="C98" s="1">
        <f>0.25/5</f>
        <v>0.05</v>
      </c>
      <c r="D98" s="1">
        <f>0/5</f>
        <v>0</v>
      </c>
      <c r="E98" s="1">
        <f>0.25/4</f>
        <v>0.0625</v>
      </c>
      <c r="F98" s="1">
        <f>0.5/4</f>
        <v>0.125</v>
      </c>
      <c r="G98" s="1">
        <f>28.4/35</f>
        <v>0.8114285714285714</v>
      </c>
      <c r="H98" s="1"/>
      <c r="I98" s="1">
        <f>17/17</f>
        <v>1</v>
      </c>
      <c r="O98" s="2">
        <f t="shared" si="5"/>
        <v>0.29098214285714286</v>
      </c>
      <c r="P98" s="2">
        <f t="shared" si="4"/>
        <v>0.31621223214145133</v>
      </c>
    </row>
    <row r="99" spans="1:16" ht="15">
      <c r="A99" t="s">
        <v>78</v>
      </c>
      <c r="C99" s="1">
        <f>0.5/5</f>
        <v>0.1</v>
      </c>
      <c r="D99" s="1">
        <f>0.25/5</f>
        <v>0.05</v>
      </c>
      <c r="E99" s="1">
        <f>0.75/4</f>
        <v>0.1875</v>
      </c>
      <c r="F99" s="1">
        <f>1.5/4</f>
        <v>0.375</v>
      </c>
      <c r="G99" s="1">
        <f>30/35</f>
        <v>0.8571428571428571</v>
      </c>
      <c r="H99" s="1"/>
      <c r="I99" s="1">
        <f>13/17</f>
        <v>0.7647058823529411</v>
      </c>
      <c r="O99" s="2">
        <f t="shared" si="5"/>
        <v>0.36689600840336134</v>
      </c>
      <c r="P99" s="2">
        <f t="shared" si="4"/>
        <v>0.39870833530143435</v>
      </c>
    </row>
    <row r="100" spans="15:16" ht="15">
      <c r="O100" s="5">
        <f>AVERAGE(O78:O94,O95:O99)</f>
        <v>0.41539772727272734</v>
      </c>
      <c r="P100" s="2">
        <f t="shared" si="4"/>
        <v>0.4514154761444687</v>
      </c>
    </row>
    <row r="101" spans="15:17" ht="15">
      <c r="O101" s="2"/>
      <c r="P101" s="2"/>
      <c r="Q101" s="6"/>
    </row>
    <row r="102" spans="1:3" ht="15">
      <c r="A102" t="s">
        <v>88</v>
      </c>
      <c r="C102" s="3" t="s">
        <v>121</v>
      </c>
    </row>
    <row r="103" ht="15">
      <c r="C103" t="s">
        <v>106</v>
      </c>
    </row>
    <row r="104" ht="15">
      <c r="C104" t="s">
        <v>89</v>
      </c>
    </row>
    <row r="106" ht="15.75">
      <c r="A106" s="4" t="s">
        <v>115</v>
      </c>
    </row>
    <row r="107" ht="15">
      <c r="A107" s="3" t="s">
        <v>92</v>
      </c>
    </row>
    <row r="108" ht="15">
      <c r="A108" s="3"/>
    </row>
    <row r="109" ht="15">
      <c r="A109" s="3" t="s">
        <v>91</v>
      </c>
    </row>
    <row r="110" spans="1:3" ht="15">
      <c r="A110" s="15" t="s">
        <v>120</v>
      </c>
      <c r="C110" s="3"/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123</cp:lastModifiedBy>
  <cp:lastPrinted>2010-06-30T01:35:52Z</cp:lastPrinted>
  <dcterms:created xsi:type="dcterms:W3CDTF">2010-06-14T04:01:30Z</dcterms:created>
  <dcterms:modified xsi:type="dcterms:W3CDTF">2011-01-09T08:41:18Z</dcterms:modified>
  <cp:category/>
  <cp:version/>
  <cp:contentType/>
  <cp:contentStatus/>
</cp:coreProperties>
</file>